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743" activeTab="0"/>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'Diagramme'!$B$1:$W$5</definedName>
    <definedName name="_xlnm.Print_Area" localSheetId="4">'W1'!$C$1:$AY$57</definedName>
    <definedName name="_xlnm.Print_Area" localSheetId="5">'W2'!$C$1:$AX$92</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<sst xmlns="http://schemas.openxmlformats.org/spreadsheetml/2006/main" count="1888" uniqueCount="735">
  <si>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</si>
  <si>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</si>
  <si>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</si>
  <si>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</si>
  <si>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</si>
  <si>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</si>
  <si>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</si>
  <si>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</si>
  <si>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</si>
  <si>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</si>
  <si>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</si>
  <si>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</si>
  <si>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</si>
  <si>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</si>
  <si>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</si>
  <si>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</si>
  <si>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</si>
  <si>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</si>
  <si>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</si>
  <si>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</si>
  <si>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</si>
  <si>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</si>
  <si>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</si>
  <si>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</si>
  <si>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</si>
  <si>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</si>
  <si>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</si>
  <si>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</si>
  <si>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</si>
  <si>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</si>
  <si>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</si>
  <si>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</si>
  <si>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</si>
  <si>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</si>
  <si>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</si>
  <si>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</si>
  <si>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</si>
  <si>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</si>
  <si>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</si>
  <si>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</si>
  <si>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</si>
  <si>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</si>
  <si>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</si>
  <si>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</si>
  <si>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</si>
  <si>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</si>
  <si>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</si>
  <si>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</si>
  <si>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</si>
  <si>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</si>
  <si>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</si>
  <si>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</si>
  <si>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</si>
  <si>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</si>
  <si>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</si>
  <si>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</si>
  <si>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</si>
  <si>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</si>
  <si>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</si>
  <si>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</si>
  <si>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</si>
  <si>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</si>
  <si>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</si>
  <si>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</si>
  <si>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</si>
  <si>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</si>
  <si>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</si>
  <si>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</si>
  <si>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</si>
  <si>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</si>
  <si>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</si>
  <si>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</si>
  <si>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</si>
  <si>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</si>
  <si>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</si>
  <si>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</si>
  <si>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</si>
  <si>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</si>
  <si>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</si>
  <si>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</si>
  <si>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</si>
  <si>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</si>
  <si>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</si>
  <si>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</si>
  <si>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</si>
  <si>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</si>
  <si>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</si>
  <si>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</si>
  <si>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</si>
  <si>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</si>
  <si>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</si>
  <si>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</si>
  <si>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</si>
  <si>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</si>
  <si>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</si>
  <si>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</si>
  <si>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</si>
  <si>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</si>
  <si>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</si>
  <si>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</si>
  <si>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</si>
  <si>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</si>
  <si>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</si>
  <si>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</si>
  <si>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</si>
  <si>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</si>
  <si>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</si>
  <si>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</si>
  <si>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</si>
  <si>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</si>
  <si>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</si>
  <si>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</si>
  <si>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</si>
  <si>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</si>
  <si>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</si>
  <si>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</si>
  <si>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</si>
  <si>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</si>
  <si>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</si>
  <si>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</si>
  <si>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</si>
  <si>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</si>
  <si>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</si>
  <si>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</si>
  <si>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</si>
  <si>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</si>
  <si>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</si>
  <si>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</si>
  <si>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</si>
  <si>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</si>
  <si>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</si>
  <si>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</si>
  <si>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</si>
  <si>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</si>
  <si>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</si>
  <si>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</si>
  <si>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</si>
  <si>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</si>
  <si>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</si>
  <si>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</si>
  <si>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</si>
  <si>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</si>
  <si>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</si>
  <si>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</si>
  <si>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</si>
  <si>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</si>
  <si>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</si>
  <si>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</si>
  <si>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</si>
  <si>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</si>
  <si>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</si>
  <si>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</si>
  <si>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</si>
  <si>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</si>
  <si>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</si>
  <si>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</si>
  <si>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</si>
  <si>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</si>
  <si>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</si>
  <si>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</si>
  <si>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</si>
  <si>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</si>
  <si>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</si>
  <si>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</si>
  <si>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</si>
  <si>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</si>
  <si>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</si>
  <si>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</si>
  <si>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</si>
  <si>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</si>
  <si>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</si>
  <si>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</si>
  <si>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</si>
  <si>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</si>
  <si>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</si>
  <si>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</si>
  <si>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</si>
  <si>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</si>
  <si>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</si>
  <si>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</si>
  <si>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</si>
  <si>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</si>
  <si>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</si>
  <si>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</si>
  <si>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</si>
  <si>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</si>
  <si>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</si>
  <si>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</si>
  <si>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</si>
  <si>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</si>
  <si>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</si>
  <si>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</si>
  <si>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</si>
  <si>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</si>
  <si>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</si>
  <si>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</si>
  <si>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</si>
  <si>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</si>
  <si>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</si>
  <si>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</si>
  <si>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</si>
  <si>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</si>
  <si>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</si>
  <si>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</si>
  <si>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</si>
  <si>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</si>
  <si>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</si>
  <si>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</si>
  <si>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</si>
  <si>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</si>
  <si>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</si>
  <si>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</si>
  <si>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</si>
  <si>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</si>
  <si>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</si>
  <si>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</si>
  <si>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</si>
  <si>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</si>
  <si>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</si>
  <si>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</si>
  <si>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</si>
  <si>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</si>
  <si>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</si>
  <si>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</si>
  <si>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</si>
  <si>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</si>
  <si>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</si>
  <si>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</si>
  <si>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</si>
  <si>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</si>
  <si>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</si>
  <si>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</si>
  <si>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</si>
  <si>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</si>
  <si>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</si>
  <si>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</si>
  <si>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</si>
  <si>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</si>
  <si>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</si>
  <si>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</si>
  <si>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</si>
  <si>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</si>
  <si>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</si>
  <si>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</si>
  <si>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</si>
  <si>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</si>
  <si>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</si>
  <si>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</si>
  <si>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</si>
  <si>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</si>
  <si>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</si>
  <si>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</si>
  <si>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</si>
  <si>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</si>
  <si>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</si>
  <si>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</si>
  <si>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</si>
  <si>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</si>
  <si>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</si>
  <si>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</si>
  <si>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</si>
  <si>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</si>
  <si>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</si>
  <si>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</si>
  <si>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</si>
  <si>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</si>
  <si>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</si>
  <si>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</si>
  <si>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</si>
  <si>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</si>
  <si>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</si>
  <si>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</si>
  <si>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</si>
  <si>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</si>
  <si>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</si>
  <si>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</si>
  <si>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</si>
  <si>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</si>
  <si>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</si>
  <si>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</si>
  <si>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</si>
  <si>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</si>
  <si>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</si>
  <si>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</si>
  <si>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</si>
  <si>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</si>
  <si>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</si>
  <si>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</si>
  <si>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</si>
  <si>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</si>
  <si>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</si>
  <si>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</si>
  <si>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</si>
  <si>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</si>
  <si>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</si>
  <si>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</si>
  <si>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</si>
  <si>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</si>
  <si>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</si>
  <si>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</si>
  <si>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</si>
  <si>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</si>
  <si>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</si>
  <si>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</si>
  <si>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</si>
  <si>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</si>
  <si>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</si>
  <si>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</si>
  <si>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</si>
  <si>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</si>
  <si>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</si>
  <si>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</si>
  <si>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</si>
  <si>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</si>
  <si>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</si>
  <si>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</si>
  <si>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</si>
  <si>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</si>
  <si>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</si>
  <si>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</si>
  <si>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</si>
  <si>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</si>
  <si>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</si>
  <si>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</si>
  <si>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</si>
  <si>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</si>
  <si>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</si>
  <si>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</si>
  <si>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</si>
  <si>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</si>
  <si>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</si>
  <si>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</si>
  <si>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</si>
  <si>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</si>
  <si>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</si>
  <si>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</si>
  <si>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</si>
  <si>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</si>
  <si>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</si>
  <si>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</si>
  <si>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</si>
  <si>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</si>
  <si>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</si>
  <si>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</si>
  <si>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</si>
  <si>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</si>
  <si>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</si>
  <si>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</si>
  <si>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</si>
  <si>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</si>
  <si>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</si>
  <si>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</si>
  <si>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</si>
  <si>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</si>
  <si>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</si>
  <si>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</si>
  <si>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</si>
  <si>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</si>
  <si>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</si>
  <si>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</si>
  <si>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</si>
  <si>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</si>
  <si>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</si>
  <si>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</si>
  <si>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</si>
  <si>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</si>
  <si>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</si>
  <si>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</si>
  <si>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</si>
  <si>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</si>
  <si>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</si>
  <si>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</si>
  <si>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</si>
  <si>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</si>
  <si>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</si>
  <si>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</si>
  <si>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</si>
  <si>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</si>
  <si>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</si>
  <si>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</si>
  <si>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</si>
  <si>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</si>
  <si>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</si>
  <si>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</si>
  <si>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</si>
  <si>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</si>
  <si>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</si>
  <si>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</si>
  <si>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</si>
  <si>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</si>
  <si>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</si>
  <si>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</si>
  <si>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</si>
  <si>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</si>
  <si>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</si>
  <si>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</si>
  <si>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</si>
  <si>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</si>
  <si>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</si>
  <si>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</si>
  <si>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</si>
  <si>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</si>
  <si>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</si>
  <si>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</si>
  <si>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</si>
  <si>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</si>
  <si>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</si>
  <si>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</si>
  <si>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</si>
  <si>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</si>
  <si>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</si>
  <si>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</si>
  <si>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</si>
  <si>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</si>
  <si>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</si>
  <si>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</si>
  <si>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</si>
  <si>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</si>
  <si>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</si>
  <si>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</si>
  <si>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</si>
  <si>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</si>
  <si>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</si>
  <si>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</si>
  <si>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</si>
  <si>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</si>
  <si>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</si>
  <si>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</si>
  <si>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</si>
  <si>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</si>
  <si>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</si>
  <si>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</si>
  <si>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</si>
  <si>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</si>
  <si>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</si>
  <si>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</si>
  <si>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</si>
  <si>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</si>
  <si>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</si>
  <si>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</si>
  <si>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</si>
  <si>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</si>
  <si>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</si>
  <si>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</si>
  <si>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</si>
  <si>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</si>
  <si>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</si>
  <si>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</si>
  <si>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</si>
  <si>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</si>
  <si>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</si>
  <si>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</si>
  <si>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</si>
  <si>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</si>
  <si>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</si>
  <si>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</si>
  <si>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</si>
  <si>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</si>
  <si>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</si>
  <si>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</si>
  <si>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</si>
  <si>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</si>
  <si>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</si>
  <si>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</si>
  <si>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</si>
  <si>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</si>
  <si>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</si>
  <si>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</si>
  <si>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</si>
  <si>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</si>
  <si>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</si>
  <si>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</si>
  <si>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</si>
  <si>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</si>
  <si>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</si>
  <si>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</si>
  <si>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</si>
  <si>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</si>
  <si>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</si>
  <si>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</si>
  <si>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</si>
  <si>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</si>
  <si>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</si>
  <si>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</si>
  <si>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</si>
  <si>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</si>
  <si>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</si>
  <si>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</si>
  <si>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</si>
  <si>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</si>
  <si>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</si>
  <si>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</si>
  <si>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</si>
  <si>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</si>
  <si>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</si>
  <si>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</si>
  <si>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</si>
  <si>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</si>
  <si>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</si>
  <si>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</si>
  <si>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</si>
  <si>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</si>
  <si>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</si>
  <si>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</si>
  <si>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</si>
  <si>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</si>
  <si>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</si>
  <si>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</si>
  <si>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</si>
  <si>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</si>
  <si>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</si>
  <si>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</si>
  <si>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</si>
  <si>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</si>
  <si>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</si>
  <si>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</si>
  <si>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</si>
  <si>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</si>
  <si>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</si>
  <si>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</si>
  <si>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</si>
  <si>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</si>
  <si>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</si>
  <si>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</si>
  <si>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</si>
  <si>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</si>
  <si>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</si>
  <si>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</si>
  <si>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</si>
  <si>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</si>
  <si>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</si>
  <si>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</si>
  <si>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</si>
  <si>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</si>
  <si>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</si>
  <si>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</si>
  <si>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</si>
  <si>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</si>
  <si>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</si>
  <si>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</si>
  <si>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</si>
  <si>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</si>
  <si>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</si>
  <si>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</si>
  <si>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</si>
  <si>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</si>
  <si>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</si>
  <si>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</si>
  <si>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</si>
  <si>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</si>
  <si>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</si>
  <si>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</si>
  <si>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</si>
  <si>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</si>
  <si>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</si>
  <si>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</si>
  <si>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</si>
  <si>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</si>
  <si>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</si>
  <si>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</si>
  <si>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</si>
  <si>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</si>
  <si>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</si>
  <si>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</si>
  <si>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</si>
  <si>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</si>
  <si>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</si>
  <si>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</si>
  <si>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</si>
  <si>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</si>
  <si>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</si>
  <si>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</si>
  <si>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</si>
  <si>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</si>
  <si>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</si>
  <si>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</si>
  <si>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</si>
  <si>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</si>
  <si>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</si>
  <si>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</si>
  <si>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</si>
  <si>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</si>
  <si>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</si>
  <si>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</si>
  <si>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</si>
  <si>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</si>
  <si>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</si>
  <si>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</si>
  <si>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</si>
  <si>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</si>
  <si>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</si>
  <si>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</si>
  <si>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</si>
  <si>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</si>
  <si>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</si>
  <si>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</si>
  <si>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</si>
  <si>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</si>
  <si>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</si>
  <si>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</si>
  <si>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</si>
  <si>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</si>
  <si>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</si>
  <si>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</si>
  <si>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</si>
  <si>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</si>
  <si>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</si>
  <si>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</si>
  <si>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</si>
  <si>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</si>
  <si>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</si>
  <si>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</si>
  <si>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</si>
  <si>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</si>
  <si>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</si>
  <si>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</si>
  <si>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</si>
  <si>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</si>
  <si>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</si>
  <si>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</si>
  <si>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</si>
  <si>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</si>
  <si>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</si>
  <si>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</si>
  <si>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</si>
  <si>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</si>
  <si>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</si>
  <si>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</si>
  <si>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</si>
  <si>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</si>
  <si>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</si>
  <si>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</si>
  <si>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</si>
  <si>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</si>
  <si>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</si>
  <si>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</si>
  <si>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</si>
  <si>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</si>
  <si>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</si>
  <si>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</si>
  <si>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</si>
  <si>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</si>
  <si>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</si>
  <si>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</si>
  <si>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</si>
  <si>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</si>
  <si>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</si>
  <si>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</si>
  <si>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</si>
  <si>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</si>
  <si>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</si>
  <si>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</si>
  <si>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</si>
  <si>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</si>
  <si>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</si>
  <si>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</si>
  <si>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</si>
  <si>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</si>
  <si>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</si>
  <si>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</si>
  <si>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</si>
  <si>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</si>
  <si>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</si>
  <si>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</si>
  <si>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</si>
  <si>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</si>
  <si>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</si>
  <si>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</si>
  <si>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</si>
  <si>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</si>
  <si>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</si>
  <si>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</si>
  <si>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</si>
  <si>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</si>
  <si>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</si>
  <si>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</si>
  <si>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</si>
  <si>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</si>
  <si>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</si>
  <si>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</si>
  <si>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</si>
  <si>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</si>
  <si>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</si>
  <si>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</si>
  <si>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</si>
  <si>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</si>
  <si>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</si>
  <si>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</si>
  <si>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</si>
  <si>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</si>
  <si>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</si>
  <si>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</si>
  <si>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</si>
  <si>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</si>
  <si>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</si>
  <si>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</si>
  <si>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</si>
  <si>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</si>
  <si>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</si>
  <si>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</si>
  <si>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</si>
  <si>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</si>
  <si>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</si>
  <si>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</si>
  <si>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t>A</t>
  </si>
  <si>
    <t>B</t>
  </si>
  <si>
    <t>C</t>
  </si>
  <si>
    <t>D</t>
  </si>
  <si>
    <t>E</t>
  </si>
  <si>
    <t>F</t>
  </si>
  <si>
    <t>Moyenne sur 30 ans (1983-2012).</t>
  </si>
  <si>
    <t>Avant 2006, on associe à la précipitation du pays (P en mm) la valeur moyenne des stations de FEDA-Central et FEDA-Ransol, compte tenu des corrélations supérieures à 90% , obtenue avec des études existantes sur l'ensemble du territoire. (y = 1,148881x - 61,493912). Les valeurs de sont adoptées à la base C.Miquel, 2012 compte tenu de la  correlation plus élevée (R2= 0,9215). Finalement, on multiplie la valeur par la superficie du pays (467,72216532 km2). Après 2006, B.</t>
  </si>
  <si>
    <t>Étude annuelle du bilan hydrique (méthodologie d'estimation par gradients constants).</t>
  </si>
  <si>
    <t>Étude annuelle du bilan hydrique (méthodologie d'estimation par régression multiple).</t>
  </si>
  <si>
    <t>Avant 2006, on associe à la température du pays (T en ºC) la valeur moyenne des stations de FEDA-Central, FEDA-Engolasters i FEDA-Ransol, obtenue à partir d'études existantes sur l'ensemble du territoire. (y = 1,020108x - 2,913087). Sur la base de C.Miquel, 2012 compte tenu de la correlation plus élevée (R2= 0,790447). Puis, on adopte l'ETR par calcul de Turc sur la base de T et P (W1,1). Après 2006, B.</t>
  </si>
  <si>
    <t>Calculé sur la base :  Flux interne (3) / Sup. Andorra ( 467,72216532 km2) x (Sup. Andorra ( 467,72216532 km2)- Sup. conca( 515,08 km2)).</t>
  </si>
  <si>
    <t>Hors prélèvements pour la production hydroélectrique, tel que le spécifiquent les notes ci-dessus.</t>
  </si>
  <si>
    <t>Tous les usages, moins l'hyroélectricité, moins l'usage domestique, plus la consommation domestique.</t>
  </si>
  <si>
    <t>Consommation domestique. ( facturé )</t>
  </si>
  <si>
    <t>Élevage, agriculture et pisciculture.</t>
  </si>
  <si>
    <t>(1) = (2) + (3).</t>
  </si>
  <si>
    <t>(2) = W2,15.</t>
  </si>
  <si>
    <t>(3) = W2,17.</t>
  </si>
  <si>
    <t>Information fournie par le Ministère chargé de la Santé.</t>
  </si>
  <si>
    <t>Les données se réfèrent à un traitement biologique des eaux usées.</t>
  </si>
  <si>
    <t>Les données se réfèrent à un traitement biologique des eaux usées avec élimination de nutriments.</t>
  </si>
  <si>
    <t>Estimé très résiduel (=0).</t>
  </si>
  <si>
    <t>Les masses de boues (matière sèche) sont surestimées en raison de la méthode de pesée (FH+RD).</t>
  </si>
  <si>
    <t>BC</t>
  </si>
  <si>
    <t>Entrée en fonctionnement d'une nouvelle  STEP  (Nord Oriental).</t>
  </si>
  <si>
    <t>Finalisation des travaux de connexion de la totalité du système d'assainissement Sud.</t>
  </si>
  <si>
    <t>L'assainissement non-collectif a été consideré comme très résiduel (=0) par rapport a l'assainissement collectif.</t>
  </si>
  <si>
    <t>(21) = (20) - (22).</t>
  </si>
  <si>
    <t>Estimé sur la base d'une production de 206,5 m3/hab/an (moyenne 2009, 2010, 2011) si la valeur résultante est supérieure à W4,10, sinon W4,10.</t>
  </si>
  <si>
    <t>(19) = (1) - (10).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</si>
</sst>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13" fillId="32"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3" fillId="34" borderId="88"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9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40" borderId="43" xfId="58" applyFont="1" applyFill="1" applyBorder="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8" fillId="5" borderId="83"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11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1" xfId="0" applyBorder="1" applyAlignment="1" applyProtection="1">
      <alignment wrapText="1"/>
      <protection locked="0"/>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8" fillId="0" borderId="20" xfId="0" applyFont="1" applyBorder="1" applyAlignment="1" applyProtection="1">
      <alignment wrapText="1"/>
      <protection locked="0"/>
    </xf>
    <xf numFmtId="0" fontId="0" fillId="0" borderId="17" xfId="0" applyBorder="1" applyAlignment="1" applyProtection="1">
      <alignment wrapText="1"/>
      <protection locked="0"/>
    </xf>
    <xf numFmtId="0" fontId="0" fillId="0" borderId="90" xfId="0" applyBorder="1" applyAlignment="1" applyProtection="1">
      <alignment wrapText="1"/>
      <protection locked="0"/>
    </xf>
    <xf numFmtId="0" fontId="8" fillId="0" borderId="17"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90"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4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66675</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80975" y="57150"/>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304800</xdr:rowOff>
    </xdr:from>
    <xdr:to>
      <xdr:col>5</xdr:col>
      <xdr:colOff>9525</xdr:colOff>
      <xdr:row>11</xdr:row>
      <xdr:rowOff>304800</xdr:rowOff>
    </xdr:to>
    <xdr:sp>
      <xdr:nvSpPr>
        <xdr:cNvPr id="1" name="Line 7"/>
        <xdr:cNvSpPr>
          <a:spLocks/>
        </xdr:cNvSpPr>
      </xdr:nvSpPr>
      <xdr:spPr>
        <a:xfrm flipV="1">
          <a:off x="1495425" y="25908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791700"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8671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6576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247650</xdr:rowOff>
    </xdr:to>
    <xdr:sp>
      <xdr:nvSpPr>
        <xdr:cNvPr id="6" name="Line 35"/>
        <xdr:cNvSpPr>
          <a:spLocks/>
        </xdr:cNvSpPr>
      </xdr:nvSpPr>
      <xdr:spPr>
        <a:xfrm flipV="1">
          <a:off x="14639925" y="5286375"/>
          <a:ext cx="0" cy="3324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3247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323850</xdr:colOff>
      <xdr:row>20</xdr:row>
      <xdr:rowOff>428625</xdr:rowOff>
    </xdr:to>
    <xdr:sp>
      <xdr:nvSpPr>
        <xdr:cNvPr id="8" name="Line 73"/>
        <xdr:cNvSpPr>
          <a:spLocks/>
        </xdr:cNvSpPr>
      </xdr:nvSpPr>
      <xdr:spPr>
        <a:xfrm>
          <a:off x="9382125" y="5876925"/>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142875</xdr:colOff>
      <xdr:row>22</xdr:row>
      <xdr:rowOff>180975</xdr:rowOff>
    </xdr:to>
    <xdr:sp>
      <xdr:nvSpPr>
        <xdr:cNvPr id="11" name="Line 204"/>
        <xdr:cNvSpPr>
          <a:spLocks/>
        </xdr:cNvSpPr>
      </xdr:nvSpPr>
      <xdr:spPr>
        <a:xfrm>
          <a:off x="9782175" y="62198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66675</xdr:rowOff>
    </xdr:to>
    <xdr:sp>
      <xdr:nvSpPr>
        <xdr:cNvPr id="13" name="Line 206"/>
        <xdr:cNvSpPr>
          <a:spLocks/>
        </xdr:cNvSpPr>
      </xdr:nvSpPr>
      <xdr:spPr>
        <a:xfrm>
          <a:off x="800100" y="386715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114300</xdr:rowOff>
    </xdr:to>
    <xdr:sp>
      <xdr:nvSpPr>
        <xdr:cNvPr id="14" name="Line 207"/>
        <xdr:cNvSpPr>
          <a:spLocks/>
        </xdr:cNvSpPr>
      </xdr:nvSpPr>
      <xdr:spPr>
        <a:xfrm>
          <a:off x="1790700"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180975</xdr:rowOff>
    </xdr:to>
    <xdr:sp>
      <xdr:nvSpPr>
        <xdr:cNvPr id="15" name="Line 208"/>
        <xdr:cNvSpPr>
          <a:spLocks/>
        </xdr:cNvSpPr>
      </xdr:nvSpPr>
      <xdr:spPr>
        <a:xfrm>
          <a:off x="2952750" y="3886200"/>
          <a:ext cx="0"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114300</xdr:rowOff>
    </xdr:to>
    <xdr:sp>
      <xdr:nvSpPr>
        <xdr:cNvPr id="16" name="Line 209"/>
        <xdr:cNvSpPr>
          <a:spLocks/>
        </xdr:cNvSpPr>
      </xdr:nvSpPr>
      <xdr:spPr>
        <a:xfrm flipH="1">
          <a:off x="418147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2959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85725</xdr:rowOff>
    </xdr:to>
    <xdr:sp>
      <xdr:nvSpPr>
        <xdr:cNvPr id="18" name="Line 211"/>
        <xdr:cNvSpPr>
          <a:spLocks/>
        </xdr:cNvSpPr>
      </xdr:nvSpPr>
      <xdr:spPr>
        <a:xfrm>
          <a:off x="64770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857250</xdr:rowOff>
    </xdr:from>
    <xdr:to>
      <xdr:col>3</xdr:col>
      <xdr:colOff>438150</xdr:colOff>
      <xdr:row>18</xdr:row>
      <xdr:rowOff>0</xdr:rowOff>
    </xdr:to>
    <xdr:sp>
      <xdr:nvSpPr>
        <xdr:cNvPr id="19" name="Line 212"/>
        <xdr:cNvSpPr>
          <a:spLocks/>
        </xdr:cNvSpPr>
      </xdr:nvSpPr>
      <xdr:spPr>
        <a:xfrm>
          <a:off x="8286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809750"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857250</xdr:rowOff>
    </xdr:from>
    <xdr:to>
      <xdr:col>5</xdr:col>
      <xdr:colOff>428625</xdr:colOff>
      <xdr:row>18</xdr:row>
      <xdr:rowOff>9525</xdr:rowOff>
    </xdr:to>
    <xdr:sp>
      <xdr:nvSpPr>
        <xdr:cNvPr id="21" name="Line 214"/>
        <xdr:cNvSpPr>
          <a:spLocks/>
        </xdr:cNvSpPr>
      </xdr:nvSpPr>
      <xdr:spPr>
        <a:xfrm>
          <a:off x="2971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2005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3149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5151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409575</xdr:rowOff>
    </xdr:from>
    <xdr:to>
      <xdr:col>12</xdr:col>
      <xdr:colOff>323850</xdr:colOff>
      <xdr:row>24</xdr:row>
      <xdr:rowOff>409575</xdr:rowOff>
    </xdr:to>
    <xdr:sp>
      <xdr:nvSpPr>
        <xdr:cNvPr id="26" name="Line 219"/>
        <xdr:cNvSpPr>
          <a:spLocks/>
        </xdr:cNvSpPr>
      </xdr:nvSpPr>
      <xdr:spPr>
        <a:xfrm flipV="1">
          <a:off x="9353550" y="6858000"/>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9538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5824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449300" y="62198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63040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523875</xdr:rowOff>
    </xdr:from>
    <xdr:to>
      <xdr:col>19</xdr:col>
      <xdr:colOff>333375</xdr:colOff>
      <xdr:row>26</xdr:row>
      <xdr:rowOff>523875</xdr:rowOff>
    </xdr:to>
    <xdr:sp>
      <xdr:nvSpPr>
        <xdr:cNvPr id="31" name="Line 232"/>
        <xdr:cNvSpPr>
          <a:spLocks/>
        </xdr:cNvSpPr>
      </xdr:nvSpPr>
      <xdr:spPr>
        <a:xfrm>
          <a:off x="14639925" y="75628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63992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9339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50673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50863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63992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552450</xdr:colOff>
      <xdr:row>15</xdr:row>
      <xdr:rowOff>190500</xdr:rowOff>
    </xdr:from>
    <xdr:to>
      <xdr:col>9</xdr:col>
      <xdr:colOff>552450</xdr:colOff>
      <xdr:row>16</xdr:row>
      <xdr:rowOff>85725</xdr:rowOff>
    </xdr:to>
    <xdr:sp>
      <xdr:nvSpPr>
        <xdr:cNvPr id="39" name="Line 211"/>
        <xdr:cNvSpPr>
          <a:spLocks/>
        </xdr:cNvSpPr>
      </xdr:nvSpPr>
      <xdr:spPr>
        <a:xfrm>
          <a:off x="760095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85725</xdr:rowOff>
    </xdr:to>
    <xdr:sp>
      <xdr:nvSpPr>
        <xdr:cNvPr id="40" name="Line 211"/>
        <xdr:cNvSpPr>
          <a:spLocks/>
        </xdr:cNvSpPr>
      </xdr:nvSpPr>
      <xdr:spPr>
        <a:xfrm>
          <a:off x="869632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857250</xdr:rowOff>
    </xdr:from>
    <xdr:to>
      <xdr:col>9</xdr:col>
      <xdr:colOff>571500</xdr:colOff>
      <xdr:row>18</xdr:row>
      <xdr:rowOff>9525</xdr:rowOff>
    </xdr:to>
    <xdr:sp>
      <xdr:nvSpPr>
        <xdr:cNvPr id="41" name="Line 217"/>
        <xdr:cNvSpPr>
          <a:spLocks/>
        </xdr:cNvSpPr>
      </xdr:nvSpPr>
      <xdr:spPr>
        <a:xfrm>
          <a:off x="76200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7249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247650</xdr:rowOff>
    </xdr:from>
    <xdr:to>
      <xdr:col>20</xdr:col>
      <xdr:colOff>0</xdr:colOff>
      <xdr:row>30</xdr:row>
      <xdr:rowOff>247650</xdr:rowOff>
    </xdr:to>
    <xdr:sp>
      <xdr:nvSpPr>
        <xdr:cNvPr id="44" name="Line 233"/>
        <xdr:cNvSpPr>
          <a:spLocks/>
        </xdr:cNvSpPr>
      </xdr:nvSpPr>
      <xdr:spPr>
        <a:xfrm>
          <a:off x="14639925" y="86106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390900"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228600</xdr:rowOff>
    </xdr:from>
    <xdr:to>
      <xdr:col>9</xdr:col>
      <xdr:colOff>19050</xdr:colOff>
      <xdr:row>20</xdr:row>
      <xdr:rowOff>266700</xdr:rowOff>
    </xdr:to>
    <xdr:sp>
      <xdr:nvSpPr>
        <xdr:cNvPr id="46" name="Line 73"/>
        <xdr:cNvSpPr>
          <a:spLocks/>
        </xdr:cNvSpPr>
      </xdr:nvSpPr>
      <xdr:spPr>
        <a:xfrm flipV="1">
          <a:off x="3390900" y="5676900"/>
          <a:ext cx="3676650" cy="381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323850</xdr:colOff>
      <xdr:row>26</xdr:row>
      <xdr:rowOff>714375</xdr:rowOff>
    </xdr:to>
    <xdr:sp>
      <xdr:nvSpPr>
        <xdr:cNvPr id="47" name="Line 219"/>
        <xdr:cNvSpPr>
          <a:spLocks/>
        </xdr:cNvSpPr>
      </xdr:nvSpPr>
      <xdr:spPr>
        <a:xfrm flipV="1">
          <a:off x="9382125" y="775335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228600</xdr:rowOff>
    </xdr:from>
    <xdr:to>
      <xdr:col>6</xdr:col>
      <xdr:colOff>942975</xdr:colOff>
      <xdr:row>21</xdr:row>
      <xdr:rowOff>114300</xdr:rowOff>
    </xdr:to>
    <xdr:sp>
      <xdr:nvSpPr>
        <xdr:cNvPr id="48" name="Line 223"/>
        <xdr:cNvSpPr>
          <a:spLocks/>
        </xdr:cNvSpPr>
      </xdr:nvSpPr>
      <xdr:spPr>
        <a:xfrm>
          <a:off x="4572000" y="5676900"/>
          <a:ext cx="1905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435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9243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912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865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865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865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434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6227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5275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4322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5275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2952750" y="142017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276225</xdr:colOff>
      <xdr:row>64</xdr:row>
      <xdr:rowOff>180975</xdr:rowOff>
    </xdr:to>
    <xdr:sp>
      <xdr:nvSpPr>
        <xdr:cNvPr id="6" name="Line 21"/>
        <xdr:cNvSpPr>
          <a:spLocks/>
        </xdr:cNvSpPr>
      </xdr:nvSpPr>
      <xdr:spPr>
        <a:xfrm>
          <a:off x="2943225" y="14658975"/>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30530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3390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31482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152400</xdr:colOff>
      <xdr:row>54</xdr:row>
      <xdr:rowOff>161925</xdr:rowOff>
    </xdr:to>
    <xdr:sp>
      <xdr:nvSpPr>
        <xdr:cNvPr id="10" name="Line 21"/>
        <xdr:cNvSpPr>
          <a:spLocks/>
        </xdr:cNvSpPr>
      </xdr:nvSpPr>
      <xdr:spPr>
        <a:xfrm flipV="1">
          <a:off x="4333875" y="121348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3387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552950" y="11991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1945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96075" y="1197292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9525</xdr:rowOff>
    </xdr:from>
    <xdr:to>
      <xdr:col>23</xdr:col>
      <xdr:colOff>200025</xdr:colOff>
      <xdr:row>64</xdr:row>
      <xdr:rowOff>85725</xdr:rowOff>
    </xdr:to>
    <xdr:sp>
      <xdr:nvSpPr>
        <xdr:cNvPr id="15" name="Line 18"/>
        <xdr:cNvSpPr>
          <a:spLocks/>
        </xdr:cNvSpPr>
      </xdr:nvSpPr>
      <xdr:spPr>
        <a:xfrm>
          <a:off x="7800975"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56</xdr:row>
      <xdr:rowOff>104775</xdr:rowOff>
    </xdr:from>
    <xdr:to>
      <xdr:col>26</xdr:col>
      <xdr:colOff>19050</xdr:colOff>
      <xdr:row>56</xdr:row>
      <xdr:rowOff>104775</xdr:rowOff>
    </xdr:to>
    <xdr:sp>
      <xdr:nvSpPr>
        <xdr:cNvPr id="16" name="Line 21"/>
        <xdr:cNvSpPr>
          <a:spLocks/>
        </xdr:cNvSpPr>
      </xdr:nvSpPr>
      <xdr:spPr>
        <a:xfrm>
          <a:off x="7800975" y="124968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800975" y="12915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800975" y="145542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60</xdr:row>
      <xdr:rowOff>114300</xdr:rowOff>
    </xdr:from>
    <xdr:to>
      <xdr:col>26</xdr:col>
      <xdr:colOff>0</xdr:colOff>
      <xdr:row>60</xdr:row>
      <xdr:rowOff>114300</xdr:rowOff>
    </xdr:to>
    <xdr:sp>
      <xdr:nvSpPr>
        <xdr:cNvPr id="19" name="Line 21"/>
        <xdr:cNvSpPr>
          <a:spLocks/>
        </xdr:cNvSpPr>
      </xdr:nvSpPr>
      <xdr:spPr>
        <a:xfrm flipV="1">
          <a:off x="7800975" y="13573125"/>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62</xdr:row>
      <xdr:rowOff>85725</xdr:rowOff>
    </xdr:from>
    <xdr:to>
      <xdr:col>26</xdr:col>
      <xdr:colOff>9525</xdr:colOff>
      <xdr:row>62</xdr:row>
      <xdr:rowOff>85725</xdr:rowOff>
    </xdr:to>
    <xdr:sp>
      <xdr:nvSpPr>
        <xdr:cNvPr id="20" name="Line 21"/>
        <xdr:cNvSpPr>
          <a:spLocks/>
        </xdr:cNvSpPr>
      </xdr:nvSpPr>
      <xdr:spPr>
        <a:xfrm flipV="1">
          <a:off x="7800975" y="141065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67375" y="11972925"/>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4322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5275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800975" y="115728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81925" y="12039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382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438275" y="10496550"/>
          <a:ext cx="15335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190500</xdr:rowOff>
    </xdr:from>
    <xdr:to>
      <xdr:col>11</xdr:col>
      <xdr:colOff>9525</xdr:colOff>
      <xdr:row>47</xdr:row>
      <xdr:rowOff>209550</xdr:rowOff>
    </xdr:to>
    <xdr:sp>
      <xdr:nvSpPr>
        <xdr:cNvPr id="30" name="Line 223"/>
        <xdr:cNvSpPr>
          <a:spLocks/>
        </xdr:cNvSpPr>
      </xdr:nvSpPr>
      <xdr:spPr>
        <a:xfrm flipV="1">
          <a:off x="1438275" y="10277475"/>
          <a:ext cx="34290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9917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9917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100298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91440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91440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8964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10585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2182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27349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104775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15919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381000</xdr:colOff>
      <xdr:row>37</xdr:row>
      <xdr:rowOff>161925</xdr:rowOff>
    </xdr:to>
    <xdr:sp>
      <xdr:nvSpPr>
        <xdr:cNvPr id="11" name="Line 18"/>
        <xdr:cNvSpPr>
          <a:spLocks/>
        </xdr:cNvSpPr>
      </xdr:nvSpPr>
      <xdr:spPr>
        <a:xfrm flipH="1" flipV="1">
          <a:off x="7115175" y="9820275"/>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381000</xdr:colOff>
      <xdr:row>41</xdr:row>
      <xdr:rowOff>209550</xdr:rowOff>
    </xdr:to>
    <xdr:sp>
      <xdr:nvSpPr>
        <xdr:cNvPr id="12" name="Line 18"/>
        <xdr:cNvSpPr>
          <a:spLocks/>
        </xdr:cNvSpPr>
      </xdr:nvSpPr>
      <xdr:spPr>
        <a:xfrm flipH="1" flipV="1">
          <a:off x="7115175" y="10848975"/>
          <a:ext cx="3238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tabSelected="1"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374</v>
      </c>
    </row>
    <row r="7" spans="2:13" ht="24.75" customHeight="1">
      <c r="B7" s="727" t="s">
        <v>585</v>
      </c>
      <c r="C7" s="727"/>
      <c r="D7" s="727"/>
      <c r="E7" s="727"/>
      <c r="F7" s="727"/>
      <c r="G7" s="727"/>
      <c r="H7" s="727"/>
      <c r="I7" s="727"/>
      <c r="J7" s="727"/>
      <c r="K7" s="727"/>
      <c r="L7" s="727"/>
      <c r="M7" s="727"/>
    </row>
    <row r="8" spans="2:13" ht="24.75" customHeight="1">
      <c r="B8" s="728" t="s">
        <v>646</v>
      </c>
      <c r="C8" s="728"/>
      <c r="D8" s="728"/>
      <c r="E8" s="728"/>
      <c r="F8" s="728"/>
      <c r="G8" s="728"/>
      <c r="H8" s="728"/>
      <c r="I8" s="728"/>
      <c r="J8" s="728"/>
      <c r="K8" s="728"/>
      <c r="L8" s="728"/>
      <c r="M8" s="728"/>
    </row>
    <row r="10" spans="2:4" ht="18">
      <c r="B10" s="81" t="s">
        <v>159</v>
      </c>
      <c r="C10" s="82"/>
      <c r="D10" s="3"/>
    </row>
    <row r="11" spans="2:4" ht="10.5" customHeight="1">
      <c r="B11" s="4"/>
      <c r="C11" s="3"/>
      <c r="D11" s="3"/>
    </row>
    <row r="12" spans="1:13" s="24" customFormat="1" ht="16.5" customHeight="1">
      <c r="A12" s="19"/>
      <c r="B12" s="729" t="s">
        <v>160</v>
      </c>
      <c r="C12" s="729"/>
      <c r="D12" s="729"/>
      <c r="E12" s="729"/>
      <c r="F12" s="729"/>
      <c r="G12" s="729"/>
      <c r="H12" s="729"/>
      <c r="I12" s="729"/>
      <c r="J12" s="729"/>
      <c r="K12" s="729"/>
      <c r="L12" s="729"/>
      <c r="M12" s="729"/>
    </row>
    <row r="13" spans="2:13" ht="10.5" customHeight="1">
      <c r="B13" s="83"/>
      <c r="C13" s="84"/>
      <c r="D13" s="83"/>
      <c r="E13" s="10"/>
      <c r="F13" s="83"/>
      <c r="G13" s="51"/>
      <c r="H13" s="51"/>
      <c r="I13" s="51"/>
      <c r="J13" s="51"/>
      <c r="K13" s="51"/>
      <c r="L13" s="551"/>
      <c r="M13" s="552"/>
    </row>
    <row r="14" spans="2:11" ht="15.75" customHeight="1">
      <c r="B14" s="85" t="s">
        <v>161</v>
      </c>
      <c r="C14" s="724" t="s">
        <v>162</v>
      </c>
      <c r="D14" s="725"/>
      <c r="E14" s="725"/>
      <c r="F14" s="725"/>
      <c r="G14" s="725"/>
      <c r="H14" s="725"/>
      <c r="I14" s="725"/>
      <c r="J14" s="725"/>
      <c r="K14" s="726"/>
    </row>
    <row r="15" spans="2:11" ht="7.5" customHeight="1">
      <c r="B15" s="86"/>
      <c r="C15" s="719"/>
      <c r="D15" s="720"/>
      <c r="E15" s="720"/>
      <c r="F15" s="720"/>
      <c r="G15" s="720"/>
      <c r="H15" s="720"/>
      <c r="I15" s="720"/>
      <c r="J15" s="720"/>
      <c r="K15" s="721"/>
    </row>
    <row r="16" spans="2:11" ht="15.75" customHeight="1">
      <c r="B16" s="86" t="s">
        <v>163</v>
      </c>
      <c r="C16" s="719" t="s">
        <v>164</v>
      </c>
      <c r="D16" s="720"/>
      <c r="E16" s="720"/>
      <c r="F16" s="720"/>
      <c r="G16" s="720"/>
      <c r="H16" s="720"/>
      <c r="I16" s="720"/>
      <c r="J16" s="720"/>
      <c r="K16" s="721"/>
    </row>
    <row r="17" spans="2:11" ht="7.5" customHeight="1">
      <c r="B17" s="86"/>
      <c r="C17" s="719"/>
      <c r="D17" s="720"/>
      <c r="E17" s="720"/>
      <c r="F17" s="720"/>
      <c r="G17" s="720"/>
      <c r="H17" s="720"/>
      <c r="I17" s="720"/>
      <c r="J17" s="720"/>
      <c r="K17" s="721"/>
    </row>
    <row r="18" spans="2:12" ht="15.75" customHeight="1">
      <c r="B18" s="86" t="s">
        <v>165</v>
      </c>
      <c r="C18" s="719" t="s">
        <v>171</v>
      </c>
      <c r="D18" s="722"/>
      <c r="E18" s="722"/>
      <c r="F18" s="722"/>
      <c r="G18" s="722"/>
      <c r="H18" s="722"/>
      <c r="I18" s="722"/>
      <c r="J18" s="722"/>
      <c r="K18" s="722"/>
      <c r="L18" s="58" t="s">
        <v>422</v>
      </c>
    </row>
    <row r="19" spans="2:11" ht="7.5" customHeight="1">
      <c r="B19" s="86"/>
      <c r="C19" s="719"/>
      <c r="D19" s="720"/>
      <c r="E19" s="720"/>
      <c r="F19" s="720"/>
      <c r="G19" s="720"/>
      <c r="H19" s="720"/>
      <c r="I19" s="720"/>
      <c r="J19" s="720"/>
      <c r="K19" s="721"/>
    </row>
    <row r="20" spans="2:12" ht="15.75" customHeight="1">
      <c r="B20" s="86" t="s">
        <v>166</v>
      </c>
      <c r="C20" s="719" t="s">
        <v>173</v>
      </c>
      <c r="D20" s="722"/>
      <c r="E20" s="722"/>
      <c r="F20" s="722"/>
      <c r="G20" s="722"/>
      <c r="H20" s="722"/>
      <c r="I20" s="722"/>
      <c r="J20" s="722"/>
      <c r="K20" s="722"/>
      <c r="L20" s="58" t="s">
        <v>514</v>
      </c>
    </row>
    <row r="21" spans="2:11" ht="7.5" customHeight="1">
      <c r="B21" s="86"/>
      <c r="C21" s="719"/>
      <c r="D21" s="720"/>
      <c r="E21" s="720"/>
      <c r="F21" s="720"/>
      <c r="G21" s="720"/>
      <c r="H21" s="720"/>
      <c r="I21" s="720"/>
      <c r="J21" s="720"/>
      <c r="K21" s="721"/>
    </row>
    <row r="22" spans="2:12" ht="15.75" customHeight="1">
      <c r="B22" s="86" t="s">
        <v>167</v>
      </c>
      <c r="C22" s="719" t="s">
        <v>228</v>
      </c>
      <c r="D22" s="722"/>
      <c r="E22" s="722"/>
      <c r="F22" s="722"/>
      <c r="G22" s="722"/>
      <c r="H22" s="722"/>
      <c r="I22" s="722"/>
      <c r="J22" s="722"/>
      <c r="K22" s="722"/>
      <c r="L22" s="58" t="s">
        <v>425</v>
      </c>
    </row>
    <row r="23" spans="2:11" ht="7.5" customHeight="1">
      <c r="B23" s="86"/>
      <c r="C23" s="719"/>
      <c r="D23" s="720"/>
      <c r="E23" s="720"/>
      <c r="F23" s="720"/>
      <c r="G23" s="720"/>
      <c r="H23" s="720"/>
      <c r="I23" s="720"/>
      <c r="J23" s="720"/>
      <c r="K23" s="721"/>
    </row>
    <row r="24" spans="2:12" ht="15.75" customHeight="1">
      <c r="B24" s="86" t="s">
        <v>168</v>
      </c>
      <c r="C24" s="719" t="s">
        <v>172</v>
      </c>
      <c r="D24" s="720"/>
      <c r="E24" s="720"/>
      <c r="F24" s="720"/>
      <c r="G24" s="720"/>
      <c r="H24" s="720"/>
      <c r="I24" s="720"/>
      <c r="J24" s="720"/>
      <c r="K24" s="721"/>
      <c r="L24" s="58" t="s">
        <v>395</v>
      </c>
    </row>
    <row r="25" spans="2:11" ht="7.5" customHeight="1">
      <c r="B25" s="86"/>
      <c r="C25" s="719"/>
      <c r="D25" s="720"/>
      <c r="E25" s="720"/>
      <c r="F25" s="720"/>
      <c r="G25" s="720"/>
      <c r="H25" s="720"/>
      <c r="I25" s="720"/>
      <c r="J25" s="720"/>
      <c r="K25" s="721"/>
    </row>
    <row r="26" spans="2:12" ht="15.75" customHeight="1">
      <c r="B26" s="86" t="s">
        <v>169</v>
      </c>
      <c r="C26" s="719" t="s">
        <v>226</v>
      </c>
      <c r="D26" s="722"/>
      <c r="E26" s="722"/>
      <c r="F26" s="722"/>
      <c r="G26" s="722"/>
      <c r="H26" s="722"/>
      <c r="I26" s="722"/>
      <c r="J26" s="722"/>
      <c r="K26" s="722"/>
      <c r="L26" s="58" t="s">
        <v>426</v>
      </c>
    </row>
    <row r="27" spans="2:11" ht="7.5" customHeight="1">
      <c r="B27" s="86"/>
      <c r="C27" s="719"/>
      <c r="D27" s="720"/>
      <c r="E27" s="720"/>
      <c r="F27" s="720"/>
      <c r="G27" s="720"/>
      <c r="H27" s="720"/>
      <c r="I27" s="720"/>
      <c r="J27" s="720"/>
      <c r="K27" s="721"/>
    </row>
    <row r="28" spans="2:11" ht="15.75" customHeight="1">
      <c r="B28" s="86" t="s">
        <v>170</v>
      </c>
      <c r="C28" s="719" t="s">
        <v>227</v>
      </c>
      <c r="D28" s="720"/>
      <c r="E28" s="720"/>
      <c r="F28" s="720"/>
      <c r="G28" s="720"/>
      <c r="H28" s="720"/>
      <c r="I28" s="720"/>
      <c r="J28" s="720"/>
      <c r="K28" s="721"/>
    </row>
    <row r="29" spans="2:11" ht="9.75" customHeight="1">
      <c r="B29" s="13"/>
      <c r="C29" s="723"/>
      <c r="D29" s="723"/>
      <c r="E29" s="723"/>
      <c r="F29" s="723"/>
      <c r="G29" s="723"/>
      <c r="H29" s="723"/>
      <c r="I29" s="723"/>
      <c r="J29" s="723"/>
      <c r="K29" s="723"/>
    </row>
    <row r="30" spans="2:13" s="7" customFormat="1" ht="15">
      <c r="B30" s="12"/>
      <c r="C30" s="718"/>
      <c r="D30" s="718"/>
      <c r="E30" s="718"/>
      <c r="F30" s="718"/>
      <c r="G30" s="718"/>
      <c r="H30" s="718"/>
      <c r="I30" s="718"/>
      <c r="J30" s="718"/>
      <c r="K30" s="718"/>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C1">
      <selection activeCell="O33" sqref="O33"/>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159</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312</v>
      </c>
      <c r="D3" s="31"/>
      <c r="E3" s="31"/>
      <c r="F3" s="30"/>
      <c r="G3" s="30"/>
      <c r="H3" s="33"/>
      <c r="K3" s="32" t="s">
        <v>316</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5" t="s">
        <v>476</v>
      </c>
      <c r="D5" s="916"/>
      <c r="E5" s="916"/>
      <c r="F5" s="916"/>
      <c r="G5" s="916"/>
      <c r="H5" s="916"/>
      <c r="I5" s="916"/>
      <c r="J5" s="916"/>
      <c r="K5" s="916"/>
      <c r="L5" s="916"/>
      <c r="M5" s="916"/>
      <c r="N5" s="28"/>
      <c r="O5" s="28"/>
      <c r="P5" s="28"/>
    </row>
    <row r="6" ht="9.75" customHeight="1"/>
    <row r="7" spans="3:16" ht="17.25" customHeight="1">
      <c r="C7" s="905" t="s">
        <v>475</v>
      </c>
      <c r="D7" s="906"/>
      <c r="E7" s="906"/>
      <c r="F7" s="906"/>
      <c r="G7" s="906"/>
      <c r="H7" s="906"/>
      <c r="I7" s="906"/>
      <c r="J7" s="906"/>
      <c r="K7" s="906"/>
      <c r="L7" s="906"/>
      <c r="M7" s="906"/>
      <c r="N7" s="906"/>
      <c r="O7" s="906"/>
      <c r="P7" s="907"/>
    </row>
    <row r="8" spans="3:16" ht="25.5" customHeight="1">
      <c r="C8" s="920"/>
      <c r="D8" s="921"/>
      <c r="E8" s="921"/>
      <c r="F8" s="921"/>
      <c r="G8" s="921"/>
      <c r="H8" s="921"/>
      <c r="I8" s="921"/>
      <c r="J8" s="921"/>
      <c r="K8" s="921"/>
      <c r="L8" s="921"/>
      <c r="M8" s="921"/>
      <c r="N8" s="921"/>
      <c r="O8" s="921"/>
      <c r="P8" s="922"/>
    </row>
    <row r="9" spans="3:16" ht="39" customHeight="1">
      <c r="C9" s="917" t="s">
        <v>474</v>
      </c>
      <c r="D9" s="918"/>
      <c r="E9" s="918"/>
      <c r="F9" s="918"/>
      <c r="G9" s="918"/>
      <c r="H9" s="918"/>
      <c r="I9" s="918"/>
      <c r="J9" s="918"/>
      <c r="K9" s="918"/>
      <c r="L9" s="918"/>
      <c r="M9" s="918"/>
      <c r="N9" s="918"/>
      <c r="O9" s="918"/>
      <c r="P9" s="919"/>
    </row>
    <row r="10" spans="3:16" ht="15" customHeight="1">
      <c r="C10" s="908"/>
      <c r="D10" s="911"/>
      <c r="E10" s="911"/>
      <c r="F10" s="911"/>
      <c r="G10" s="911"/>
      <c r="H10" s="911"/>
      <c r="I10" s="911"/>
      <c r="J10" s="911"/>
      <c r="K10" s="911"/>
      <c r="L10" s="911"/>
      <c r="M10" s="911"/>
      <c r="N10" s="911"/>
      <c r="O10" s="911"/>
      <c r="P10" s="912"/>
    </row>
    <row r="11" spans="3:16" ht="15" customHeight="1">
      <c r="C11" s="908"/>
      <c r="D11" s="911"/>
      <c r="E11" s="911"/>
      <c r="F11" s="911"/>
      <c r="G11" s="911"/>
      <c r="H11" s="911"/>
      <c r="I11" s="911"/>
      <c r="J11" s="911"/>
      <c r="K11" s="911"/>
      <c r="L11" s="911"/>
      <c r="M11" s="911"/>
      <c r="N11" s="911"/>
      <c r="O11" s="911"/>
      <c r="P11" s="912"/>
    </row>
    <row r="12" spans="3:16" ht="15" customHeight="1">
      <c r="C12" s="908"/>
      <c r="D12" s="911"/>
      <c r="E12" s="911"/>
      <c r="F12" s="911"/>
      <c r="G12" s="911"/>
      <c r="H12" s="911"/>
      <c r="I12" s="911"/>
      <c r="J12" s="911"/>
      <c r="K12" s="911"/>
      <c r="L12" s="911"/>
      <c r="M12" s="911"/>
      <c r="N12" s="911"/>
      <c r="O12" s="911"/>
      <c r="P12" s="912"/>
    </row>
    <row r="13" spans="3:16" ht="15" customHeight="1">
      <c r="C13" s="908"/>
      <c r="D13" s="913"/>
      <c r="E13" s="913"/>
      <c r="F13" s="913"/>
      <c r="G13" s="913"/>
      <c r="H13" s="913"/>
      <c r="I13" s="913"/>
      <c r="J13" s="913"/>
      <c r="K13" s="913"/>
      <c r="L13" s="913"/>
      <c r="M13" s="913"/>
      <c r="N13" s="913"/>
      <c r="O13" s="913"/>
      <c r="P13" s="914"/>
    </row>
    <row r="14" spans="3:16" ht="15" customHeight="1">
      <c r="C14" s="908"/>
      <c r="D14" s="911"/>
      <c r="E14" s="911"/>
      <c r="F14" s="911"/>
      <c r="G14" s="911"/>
      <c r="H14" s="911"/>
      <c r="I14" s="911"/>
      <c r="J14" s="911"/>
      <c r="K14" s="911"/>
      <c r="L14" s="911"/>
      <c r="M14" s="911"/>
      <c r="N14" s="911"/>
      <c r="O14" s="911"/>
      <c r="P14" s="912"/>
    </row>
    <row r="15" spans="3:16" ht="15" customHeight="1">
      <c r="C15" s="908"/>
      <c r="D15" s="911"/>
      <c r="E15" s="911"/>
      <c r="F15" s="911"/>
      <c r="G15" s="911"/>
      <c r="H15" s="911"/>
      <c r="I15" s="911"/>
      <c r="J15" s="911"/>
      <c r="K15" s="911"/>
      <c r="L15" s="911"/>
      <c r="M15" s="911"/>
      <c r="N15" s="911"/>
      <c r="O15" s="911"/>
      <c r="P15" s="912"/>
    </row>
    <row r="16" spans="3:16" ht="15" customHeight="1">
      <c r="C16" s="908"/>
      <c r="D16" s="911"/>
      <c r="E16" s="911"/>
      <c r="F16" s="911"/>
      <c r="G16" s="911"/>
      <c r="H16" s="911"/>
      <c r="I16" s="911"/>
      <c r="J16" s="911"/>
      <c r="K16" s="911"/>
      <c r="L16" s="911"/>
      <c r="M16" s="911"/>
      <c r="N16" s="911"/>
      <c r="O16" s="911"/>
      <c r="P16" s="912"/>
    </row>
    <row r="17" spans="3:16" ht="15" customHeight="1">
      <c r="C17" s="908"/>
      <c r="D17" s="913"/>
      <c r="E17" s="913"/>
      <c r="F17" s="913"/>
      <c r="G17" s="913"/>
      <c r="H17" s="913"/>
      <c r="I17" s="913"/>
      <c r="J17" s="913"/>
      <c r="K17" s="913"/>
      <c r="L17" s="913"/>
      <c r="M17" s="913"/>
      <c r="N17" s="913"/>
      <c r="O17" s="913"/>
      <c r="P17" s="914"/>
    </row>
    <row r="18" spans="3:16" ht="15" customHeight="1">
      <c r="C18" s="908"/>
      <c r="D18" s="913"/>
      <c r="E18" s="913"/>
      <c r="F18" s="913"/>
      <c r="G18" s="913"/>
      <c r="H18" s="913"/>
      <c r="I18" s="913"/>
      <c r="J18" s="913"/>
      <c r="K18" s="913"/>
      <c r="L18" s="913"/>
      <c r="M18" s="913"/>
      <c r="N18" s="913"/>
      <c r="O18" s="913"/>
      <c r="P18" s="914"/>
    </row>
    <row r="19" spans="3:16" ht="15" customHeight="1">
      <c r="C19" s="905" t="s">
        <v>317</v>
      </c>
      <c r="D19" s="906"/>
      <c r="E19" s="906"/>
      <c r="F19" s="906"/>
      <c r="G19" s="906"/>
      <c r="H19" s="906"/>
      <c r="I19" s="906"/>
      <c r="J19" s="906"/>
      <c r="K19" s="906"/>
      <c r="L19" s="906"/>
      <c r="M19" s="906"/>
      <c r="N19" s="906"/>
      <c r="O19" s="906"/>
      <c r="P19" s="907"/>
    </row>
    <row r="20" spans="3:16" ht="15" customHeight="1">
      <c r="C20" s="908"/>
      <c r="D20" s="909"/>
      <c r="E20" s="909"/>
      <c r="F20" s="909"/>
      <c r="G20" s="909"/>
      <c r="H20" s="909"/>
      <c r="I20" s="909"/>
      <c r="J20" s="909"/>
      <c r="K20" s="909"/>
      <c r="L20" s="909"/>
      <c r="M20" s="909"/>
      <c r="N20" s="909"/>
      <c r="O20" s="909"/>
      <c r="P20" s="910"/>
    </row>
    <row r="21" spans="3:16" ht="15" customHeight="1">
      <c r="C21" s="908"/>
      <c r="D21" s="909"/>
      <c r="E21" s="909"/>
      <c r="F21" s="909"/>
      <c r="G21" s="909"/>
      <c r="H21" s="909"/>
      <c r="I21" s="909"/>
      <c r="J21" s="909"/>
      <c r="K21" s="909"/>
      <c r="L21" s="909"/>
      <c r="M21" s="909"/>
      <c r="N21" s="909"/>
      <c r="O21" s="909"/>
      <c r="P21" s="910"/>
    </row>
    <row r="22" spans="3:16" ht="15" customHeight="1">
      <c r="C22" s="908"/>
      <c r="D22" s="909"/>
      <c r="E22" s="909"/>
      <c r="F22" s="909"/>
      <c r="G22" s="909"/>
      <c r="H22" s="909"/>
      <c r="I22" s="909"/>
      <c r="J22" s="909"/>
      <c r="K22" s="909"/>
      <c r="L22" s="909"/>
      <c r="M22" s="909"/>
      <c r="N22" s="909"/>
      <c r="O22" s="909"/>
      <c r="P22" s="910"/>
    </row>
    <row r="23" spans="3:16" ht="15" customHeight="1">
      <c r="C23" s="908"/>
      <c r="D23" s="909"/>
      <c r="E23" s="909"/>
      <c r="F23" s="909"/>
      <c r="G23" s="909"/>
      <c r="H23" s="909"/>
      <c r="I23" s="909"/>
      <c r="J23" s="909"/>
      <c r="K23" s="909"/>
      <c r="L23" s="909"/>
      <c r="M23" s="909"/>
      <c r="N23" s="909"/>
      <c r="O23" s="909"/>
      <c r="P23" s="910"/>
    </row>
    <row r="24" spans="3:16" ht="15" customHeight="1">
      <c r="C24" s="902"/>
      <c r="D24" s="903"/>
      <c r="E24" s="903"/>
      <c r="F24" s="903"/>
      <c r="G24" s="903"/>
      <c r="H24" s="903"/>
      <c r="I24" s="903"/>
      <c r="J24" s="903"/>
      <c r="K24" s="903"/>
      <c r="L24" s="903"/>
      <c r="M24" s="903"/>
      <c r="N24" s="903"/>
      <c r="O24" s="903"/>
      <c r="P24" s="904"/>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229</v>
      </c>
    </row>
    <row r="2" ht="9.75" customHeight="1"/>
    <row r="3" spans="2:11" s="18" customFormat="1" ht="16.5" customHeight="1">
      <c r="B3" s="752" t="s">
        <v>174</v>
      </c>
      <c r="C3" s="752"/>
      <c r="D3" s="752"/>
      <c r="E3" s="752"/>
      <c r="F3" s="752"/>
      <c r="G3" s="752"/>
      <c r="H3" s="752"/>
      <c r="I3" s="752"/>
      <c r="J3" s="752"/>
      <c r="K3" s="752"/>
    </row>
    <row r="4" ht="9.75" customHeight="1">
      <c r="C4" s="14"/>
    </row>
    <row r="5" spans="2:11" s="18" customFormat="1" ht="15.75">
      <c r="B5" s="743" t="s">
        <v>1</v>
      </c>
      <c r="C5" s="743"/>
      <c r="D5" s="743"/>
      <c r="E5" s="743"/>
      <c r="F5" s="743"/>
      <c r="G5" s="743"/>
      <c r="H5" s="743"/>
      <c r="I5" s="743"/>
      <c r="J5" s="743"/>
      <c r="K5" s="743"/>
    </row>
    <row r="6" spans="2:10" ht="11.25" customHeight="1">
      <c r="B6" s="15"/>
      <c r="C6" s="16"/>
      <c r="D6" s="9"/>
      <c r="F6" s="9"/>
      <c r="G6" s="6"/>
      <c r="H6" s="6"/>
      <c r="I6" s="6"/>
      <c r="J6" s="6"/>
    </row>
    <row r="7" spans="2:11" s="10" customFormat="1" ht="53.25" customHeight="1">
      <c r="B7" s="742" t="s">
        <v>586</v>
      </c>
      <c r="C7" s="742"/>
      <c r="D7" s="742"/>
      <c r="E7" s="742"/>
      <c r="F7" s="742"/>
      <c r="G7" s="742"/>
      <c r="H7" s="742"/>
      <c r="I7" s="742"/>
      <c r="J7" s="742"/>
      <c r="K7" s="742"/>
    </row>
    <row r="8" spans="2:11" s="10" customFormat="1" ht="30" customHeight="1">
      <c r="B8" s="742" t="s">
        <v>230</v>
      </c>
      <c r="C8" s="754"/>
      <c r="D8" s="754"/>
      <c r="E8" s="754"/>
      <c r="F8" s="754"/>
      <c r="G8" s="754"/>
      <c r="H8" s="754"/>
      <c r="I8" s="754"/>
      <c r="J8" s="754"/>
      <c r="K8" s="754"/>
    </row>
    <row r="9" spans="2:11" s="2" customFormat="1" ht="45.75" customHeight="1">
      <c r="B9" s="747" t="s">
        <v>647</v>
      </c>
      <c r="C9" s="747"/>
      <c r="D9" s="747"/>
      <c r="E9" s="747"/>
      <c r="F9" s="747"/>
      <c r="G9" s="747"/>
      <c r="H9" s="747"/>
      <c r="I9" s="747"/>
      <c r="J9" s="747"/>
      <c r="K9" s="747"/>
    </row>
    <row r="10" spans="2:11" s="10" customFormat="1" ht="31.5" customHeight="1">
      <c r="B10" s="741" t="s">
        <v>175</v>
      </c>
      <c r="C10" s="741"/>
      <c r="D10" s="741"/>
      <c r="E10" s="741"/>
      <c r="F10" s="741"/>
      <c r="G10" s="741"/>
      <c r="H10" s="741"/>
      <c r="I10" s="741"/>
      <c r="J10" s="741"/>
      <c r="K10" s="741"/>
    </row>
    <row r="11" spans="2:11" s="49" customFormat="1" ht="30" customHeight="1">
      <c r="B11" s="755" t="s">
        <v>584</v>
      </c>
      <c r="C11" s="755"/>
      <c r="D11" s="755"/>
      <c r="E11" s="755"/>
      <c r="F11" s="755"/>
      <c r="G11" s="755"/>
      <c r="H11" s="755"/>
      <c r="I11" s="755"/>
      <c r="J11" s="755"/>
      <c r="K11" s="755"/>
    </row>
    <row r="12" spans="2:11" s="10" customFormat="1" ht="42.75" customHeight="1">
      <c r="B12" s="742" t="s">
        <v>459</v>
      </c>
      <c r="C12" s="742"/>
      <c r="D12" s="742"/>
      <c r="E12" s="742"/>
      <c r="F12" s="742"/>
      <c r="G12" s="742"/>
      <c r="H12" s="742"/>
      <c r="I12" s="742"/>
      <c r="J12" s="742"/>
      <c r="K12" s="742"/>
    </row>
    <row r="13" spans="2:11" s="10" customFormat="1" ht="30" customHeight="1">
      <c r="B13" s="742" t="s">
        <v>460</v>
      </c>
      <c r="C13" s="742"/>
      <c r="D13" s="742"/>
      <c r="E13" s="742"/>
      <c r="F13" s="742"/>
      <c r="G13" s="742"/>
      <c r="H13" s="742"/>
      <c r="I13" s="742"/>
      <c r="J13" s="742"/>
      <c r="K13" s="742"/>
    </row>
    <row r="14" spans="2:11" s="10" customFormat="1" ht="29.25" customHeight="1">
      <c r="B14" s="742" t="s">
        <v>587</v>
      </c>
      <c r="C14" s="742"/>
      <c r="D14" s="742"/>
      <c r="E14" s="742"/>
      <c r="F14" s="742"/>
      <c r="G14" s="742"/>
      <c r="H14" s="742"/>
      <c r="I14" s="742"/>
      <c r="J14" s="742"/>
      <c r="K14" s="742"/>
    </row>
    <row r="15" spans="2:11" s="10" customFormat="1" ht="23.25" customHeight="1">
      <c r="B15" s="753" t="s">
        <v>461</v>
      </c>
      <c r="C15" s="753"/>
      <c r="D15" s="753"/>
      <c r="E15" s="753"/>
      <c r="F15" s="753"/>
      <c r="G15" s="753"/>
      <c r="H15" s="753"/>
      <c r="I15" s="753"/>
      <c r="J15" s="753"/>
      <c r="K15" s="753"/>
    </row>
    <row r="16" spans="2:11" s="10" customFormat="1" ht="38.25" customHeight="1">
      <c r="B16" s="742" t="s">
        <v>583</v>
      </c>
      <c r="C16" s="742"/>
      <c r="D16" s="742"/>
      <c r="E16" s="746"/>
      <c r="F16" s="746"/>
      <c r="G16" s="746"/>
      <c r="H16" s="746"/>
      <c r="I16" s="746"/>
      <c r="J16" s="746"/>
      <c r="K16" s="746"/>
    </row>
    <row r="17" spans="2:11" s="10" customFormat="1" ht="16.5" customHeight="1">
      <c r="B17" s="749" t="s">
        <v>648</v>
      </c>
      <c r="C17" s="749"/>
      <c r="D17" s="749"/>
      <c r="E17" s="749"/>
      <c r="F17" s="749"/>
      <c r="G17" s="749"/>
      <c r="H17" s="749"/>
      <c r="I17" s="749"/>
      <c r="J17" s="749"/>
      <c r="K17" s="749"/>
    </row>
    <row r="18" spans="2:11" s="10" customFormat="1" ht="51.75" customHeight="1">
      <c r="B18" s="741" t="s">
        <v>617</v>
      </c>
      <c r="C18" s="741"/>
      <c r="D18" s="741"/>
      <c r="E18" s="741"/>
      <c r="F18" s="741"/>
      <c r="G18" s="741"/>
      <c r="H18" s="741"/>
      <c r="I18" s="741"/>
      <c r="J18" s="741"/>
      <c r="K18" s="741"/>
    </row>
    <row r="19" spans="2:11" ht="2.25" customHeight="1">
      <c r="B19" s="88"/>
      <c r="C19" s="88"/>
      <c r="D19" s="88"/>
      <c r="E19" s="88"/>
      <c r="F19" s="88"/>
      <c r="G19" s="88"/>
      <c r="H19" s="88"/>
      <c r="I19" s="88"/>
      <c r="J19" s="88"/>
      <c r="K19" s="88"/>
    </row>
    <row r="20" spans="2:11" s="18" customFormat="1" ht="15.75">
      <c r="B20" s="743" t="s">
        <v>176</v>
      </c>
      <c r="C20" s="744"/>
      <c r="D20" s="744"/>
      <c r="E20" s="744"/>
      <c r="F20" s="744"/>
      <c r="G20" s="744"/>
      <c r="H20" s="744"/>
      <c r="I20" s="744"/>
      <c r="J20" s="744"/>
      <c r="K20" s="744"/>
    </row>
    <row r="21" spans="2:11" ht="7.5" customHeight="1">
      <c r="B21" s="59"/>
      <c r="C21" s="40"/>
      <c r="D21" s="59"/>
      <c r="E21" s="40"/>
      <c r="F21" s="59"/>
      <c r="G21" s="40"/>
      <c r="H21" s="59"/>
      <c r="I21" s="40"/>
      <c r="J21" s="59"/>
      <c r="K21" s="40"/>
    </row>
    <row r="22" spans="2:11" ht="7.5" customHeight="1">
      <c r="B22" s="750"/>
      <c r="C22" s="750"/>
      <c r="D22" s="750"/>
      <c r="E22" s="750"/>
      <c r="F22" s="750"/>
      <c r="G22" s="750"/>
      <c r="H22" s="750"/>
      <c r="I22" s="750"/>
      <c r="J22" s="750"/>
      <c r="K22" s="750"/>
    </row>
    <row r="23" spans="2:11" s="49" customFormat="1" ht="15.75" customHeight="1">
      <c r="B23" s="90" t="s">
        <v>2</v>
      </c>
      <c r="C23" s="747" t="s">
        <v>177</v>
      </c>
      <c r="D23" s="747"/>
      <c r="E23" s="747"/>
      <c r="F23" s="747"/>
      <c r="G23" s="747"/>
      <c r="H23" s="747"/>
      <c r="I23" s="747"/>
      <c r="J23" s="747"/>
      <c r="K23" s="747"/>
    </row>
    <row r="24" spans="2:11" s="49" customFormat="1" ht="38.25" customHeight="1">
      <c r="B24" s="90" t="s">
        <v>2</v>
      </c>
      <c r="C24" s="730" t="s">
        <v>588</v>
      </c>
      <c r="D24" s="730"/>
      <c r="E24" s="730"/>
      <c r="F24" s="730"/>
      <c r="G24" s="730"/>
      <c r="H24" s="730"/>
      <c r="I24" s="730"/>
      <c r="J24" s="730"/>
      <c r="K24" s="730"/>
    </row>
    <row r="25" spans="2:11" s="42" customFormat="1" ht="63" customHeight="1">
      <c r="B25" s="90" t="s">
        <v>2</v>
      </c>
      <c r="C25" s="730" t="s">
        <v>478</v>
      </c>
      <c r="D25" s="730"/>
      <c r="E25" s="730"/>
      <c r="F25" s="730"/>
      <c r="G25" s="730"/>
      <c r="H25" s="730"/>
      <c r="I25" s="730"/>
      <c r="J25" s="730"/>
      <c r="K25" s="730"/>
    </row>
    <row r="26" spans="2:11" s="49" customFormat="1" ht="42.75" customHeight="1">
      <c r="B26" s="91" t="s">
        <v>2</v>
      </c>
      <c r="C26" s="748" t="s">
        <v>178</v>
      </c>
      <c r="D26" s="748"/>
      <c r="E26" s="748"/>
      <c r="F26" s="748"/>
      <c r="G26" s="748"/>
      <c r="H26" s="748"/>
      <c r="I26" s="748"/>
      <c r="J26" s="748"/>
      <c r="K26" s="748"/>
    </row>
    <row r="27" spans="2:11" s="49" customFormat="1" ht="40.5" customHeight="1">
      <c r="B27" s="91" t="s">
        <v>2</v>
      </c>
      <c r="C27" s="732" t="s">
        <v>179</v>
      </c>
      <c r="D27" s="732"/>
      <c r="E27" s="732"/>
      <c r="F27" s="732"/>
      <c r="G27" s="732"/>
      <c r="H27" s="732"/>
      <c r="I27" s="732"/>
      <c r="J27" s="732"/>
      <c r="K27" s="732"/>
    </row>
    <row r="28" spans="2:11" s="10" customFormat="1" ht="15.75" customHeight="1">
      <c r="B28" s="91" t="s">
        <v>2</v>
      </c>
      <c r="C28" s="741" t="s">
        <v>180</v>
      </c>
      <c r="D28" s="741"/>
      <c r="E28" s="741"/>
      <c r="F28" s="741"/>
      <c r="G28" s="741"/>
      <c r="H28" s="741"/>
      <c r="I28" s="741"/>
      <c r="J28" s="741"/>
      <c r="K28" s="741"/>
    </row>
    <row r="29" spans="2:11" s="49" customFormat="1" ht="15.75" customHeight="1">
      <c r="B29" s="91" t="s">
        <v>2</v>
      </c>
      <c r="C29" s="745" t="s">
        <v>181</v>
      </c>
      <c r="D29" s="745"/>
      <c r="E29" s="745"/>
      <c r="F29" s="745"/>
      <c r="G29" s="745"/>
      <c r="H29" s="745"/>
      <c r="I29" s="745"/>
      <c r="J29" s="745"/>
      <c r="K29" s="745"/>
    </row>
    <row r="30" spans="2:11" s="49" customFormat="1" ht="27.75" customHeight="1">
      <c r="B30" s="91" t="s">
        <v>2</v>
      </c>
      <c r="C30" s="745" t="s">
        <v>182</v>
      </c>
      <c r="D30" s="745"/>
      <c r="E30" s="745"/>
      <c r="F30" s="745"/>
      <c r="G30" s="745"/>
      <c r="H30" s="745"/>
      <c r="I30" s="745"/>
      <c r="J30" s="745"/>
      <c r="K30" s="745"/>
    </row>
    <row r="31" spans="2:11" s="10" customFormat="1" ht="10.5" customHeight="1">
      <c r="B31" s="91"/>
      <c r="C31" s="741"/>
      <c r="D31" s="741"/>
      <c r="E31" s="741"/>
      <c r="F31" s="741"/>
      <c r="G31" s="741"/>
      <c r="H31" s="741"/>
      <c r="I31" s="741"/>
      <c r="J31" s="741"/>
      <c r="K31" s="741"/>
    </row>
    <row r="32" spans="2:11" s="53" customFormat="1" ht="15.75" customHeight="1">
      <c r="B32" s="92" t="s">
        <v>477</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375</v>
      </c>
      <c r="C34" s="96" t="s">
        <v>649</v>
      </c>
      <c r="D34" s="97"/>
      <c r="E34" s="97"/>
      <c r="F34" s="97"/>
      <c r="G34" s="97"/>
      <c r="H34" s="97"/>
      <c r="I34" s="97"/>
      <c r="J34" s="97"/>
      <c r="K34" s="97"/>
    </row>
    <row r="35" spans="2:11" s="43" customFormat="1" ht="15" customHeight="1">
      <c r="B35" s="95" t="s">
        <v>375</v>
      </c>
      <c r="C35" s="96" t="s">
        <v>183</v>
      </c>
      <c r="D35" s="96"/>
      <c r="E35" s="96"/>
      <c r="F35" s="96"/>
      <c r="G35" s="96"/>
      <c r="H35" s="96"/>
      <c r="I35" s="96"/>
      <c r="J35" s="96"/>
      <c r="K35" s="96"/>
    </row>
    <row r="36" spans="2:11" s="43" customFormat="1" ht="14.25" customHeight="1">
      <c r="B36" s="95" t="s">
        <v>375</v>
      </c>
      <c r="C36" s="96" t="s">
        <v>184</v>
      </c>
      <c r="D36" s="80"/>
      <c r="E36" s="80"/>
      <c r="F36" s="80"/>
      <c r="G36" s="80"/>
      <c r="H36" s="80"/>
      <c r="I36" s="80"/>
      <c r="J36" s="80"/>
      <c r="K36" s="80"/>
    </row>
    <row r="37" spans="2:11" s="43" customFormat="1" ht="30" customHeight="1">
      <c r="B37" s="95" t="s">
        <v>375</v>
      </c>
      <c r="C37" s="751" t="s">
        <v>650</v>
      </c>
      <c r="D37" s="751"/>
      <c r="E37" s="751"/>
      <c r="F37" s="751"/>
      <c r="G37" s="751"/>
      <c r="H37" s="751"/>
      <c r="I37" s="751"/>
      <c r="J37" s="751"/>
      <c r="K37" s="751"/>
    </row>
    <row r="38" spans="2:11" s="40" customFormat="1" ht="9.75" customHeight="1">
      <c r="B38" s="98"/>
      <c r="C38" s="99"/>
      <c r="D38" s="100"/>
      <c r="E38" s="100"/>
      <c r="F38" s="100"/>
      <c r="G38" s="100"/>
      <c r="H38" s="100"/>
      <c r="I38" s="100"/>
      <c r="J38" s="100"/>
      <c r="K38" s="100"/>
    </row>
    <row r="39" spans="2:11" s="18" customFormat="1" ht="15.75" customHeight="1">
      <c r="B39" s="739" t="s">
        <v>185</v>
      </c>
      <c r="C39" s="740"/>
      <c r="D39" s="740"/>
      <c r="E39" s="740"/>
      <c r="F39" s="740"/>
      <c r="G39" s="740"/>
      <c r="H39" s="740"/>
      <c r="I39" s="740"/>
      <c r="J39" s="740"/>
      <c r="K39" s="740"/>
    </row>
    <row r="40" spans="2:11" ht="7.5" customHeight="1">
      <c r="B40" s="11"/>
      <c r="C40" s="11"/>
      <c r="D40" s="101"/>
      <c r="E40" s="101"/>
      <c r="F40" s="11"/>
      <c r="G40" s="101"/>
      <c r="H40" s="101"/>
      <c r="I40" s="101"/>
      <c r="J40" s="101"/>
      <c r="K40" s="89"/>
    </row>
    <row r="41" spans="2:12" ht="24" customHeight="1">
      <c r="B41" s="733" t="s">
        <v>186</v>
      </c>
      <c r="C41" s="734"/>
      <c r="D41" s="734"/>
      <c r="E41" s="734"/>
      <c r="F41" s="734"/>
      <c r="G41" s="734"/>
      <c r="H41" s="734"/>
      <c r="I41" s="734"/>
      <c r="J41" s="734"/>
      <c r="K41" s="735"/>
      <c r="L41" s="23"/>
    </row>
    <row r="42" spans="2:11" ht="90.75" customHeight="1">
      <c r="B42" s="736" t="s">
        <v>463</v>
      </c>
      <c r="C42" s="737"/>
      <c r="D42" s="737"/>
      <c r="E42" s="737"/>
      <c r="F42" s="737"/>
      <c r="G42" s="737"/>
      <c r="H42" s="737"/>
      <c r="I42" s="737"/>
      <c r="J42" s="737"/>
      <c r="K42" s="738"/>
    </row>
    <row r="43" spans="2:11" ht="24" customHeight="1">
      <c r="B43" s="733" t="s">
        <v>187</v>
      </c>
      <c r="C43" s="734"/>
      <c r="D43" s="734"/>
      <c r="E43" s="734"/>
      <c r="F43" s="734"/>
      <c r="G43" s="734"/>
      <c r="H43" s="734"/>
      <c r="I43" s="734"/>
      <c r="J43" s="734"/>
      <c r="K43" s="735"/>
    </row>
    <row r="44" spans="2:11" ht="101.25" customHeight="1">
      <c r="B44" s="736" t="s">
        <v>464</v>
      </c>
      <c r="C44" s="737"/>
      <c r="D44" s="737"/>
      <c r="E44" s="737"/>
      <c r="F44" s="737"/>
      <c r="G44" s="737"/>
      <c r="H44" s="737"/>
      <c r="I44" s="737"/>
      <c r="J44" s="737"/>
      <c r="K44" s="738"/>
    </row>
    <row r="45" spans="2:11" ht="24" customHeight="1">
      <c r="B45" s="733" t="s">
        <v>231</v>
      </c>
      <c r="C45" s="734"/>
      <c r="D45" s="734"/>
      <c r="E45" s="734"/>
      <c r="F45" s="734"/>
      <c r="G45" s="734"/>
      <c r="H45" s="734"/>
      <c r="I45" s="734"/>
      <c r="J45" s="734"/>
      <c r="K45" s="735"/>
    </row>
    <row r="46" spans="2:11" ht="66" customHeight="1">
      <c r="B46" s="736" t="s">
        <v>462</v>
      </c>
      <c r="C46" s="737"/>
      <c r="D46" s="737"/>
      <c r="E46" s="737"/>
      <c r="F46" s="737"/>
      <c r="G46" s="737"/>
      <c r="H46" s="737"/>
      <c r="I46" s="737"/>
      <c r="J46" s="737"/>
      <c r="K46" s="738"/>
    </row>
    <row r="47" spans="2:11" ht="24" customHeight="1">
      <c r="B47" s="733" t="s">
        <v>188</v>
      </c>
      <c r="C47" s="734"/>
      <c r="D47" s="734"/>
      <c r="E47" s="734"/>
      <c r="F47" s="734"/>
      <c r="G47" s="734"/>
      <c r="H47" s="734"/>
      <c r="I47" s="734"/>
      <c r="J47" s="734"/>
      <c r="K47" s="735"/>
    </row>
    <row r="48" spans="2:11" ht="64.5" customHeight="1">
      <c r="B48" s="736" t="s">
        <v>232</v>
      </c>
      <c r="C48" s="737"/>
      <c r="D48" s="737"/>
      <c r="E48" s="737"/>
      <c r="F48" s="737"/>
      <c r="G48" s="737"/>
      <c r="H48" s="737"/>
      <c r="I48" s="737"/>
      <c r="J48" s="737"/>
      <c r="K48" s="738"/>
    </row>
    <row r="49" spans="2:11" ht="24" customHeight="1">
      <c r="B49" s="733" t="s">
        <v>189</v>
      </c>
      <c r="C49" s="734"/>
      <c r="D49" s="734"/>
      <c r="E49" s="734"/>
      <c r="F49" s="734"/>
      <c r="G49" s="734"/>
      <c r="H49" s="734"/>
      <c r="I49" s="734"/>
      <c r="J49" s="734"/>
      <c r="K49" s="735"/>
    </row>
    <row r="50" spans="2:11" ht="27" customHeight="1">
      <c r="B50" s="736" t="s">
        <v>190</v>
      </c>
      <c r="C50" s="737"/>
      <c r="D50" s="737"/>
      <c r="E50" s="737"/>
      <c r="F50" s="737"/>
      <c r="G50" s="737"/>
      <c r="H50" s="737"/>
      <c r="I50" s="737"/>
      <c r="J50" s="737"/>
      <c r="K50" s="738"/>
    </row>
    <row r="51" spans="2:11" s="18" customFormat="1" ht="24" customHeight="1">
      <c r="B51" s="733" t="s">
        <v>191</v>
      </c>
      <c r="C51" s="734"/>
      <c r="D51" s="734"/>
      <c r="E51" s="734"/>
      <c r="F51" s="734"/>
      <c r="G51" s="734"/>
      <c r="H51" s="734"/>
      <c r="I51" s="734"/>
      <c r="J51" s="734"/>
      <c r="K51" s="735"/>
    </row>
    <row r="52" spans="2:11" ht="67.5" customHeight="1">
      <c r="B52" s="736" t="s">
        <v>233</v>
      </c>
      <c r="C52" s="737"/>
      <c r="D52" s="737"/>
      <c r="E52" s="737"/>
      <c r="F52" s="737"/>
      <c r="G52" s="737"/>
      <c r="H52" s="737"/>
      <c r="I52" s="737"/>
      <c r="J52" s="737"/>
      <c r="K52" s="738"/>
    </row>
    <row r="53" spans="2:11" ht="24" customHeight="1">
      <c r="B53" s="80"/>
      <c r="C53" s="80"/>
      <c r="D53" s="80"/>
      <c r="E53" s="80"/>
      <c r="F53" s="80"/>
      <c r="G53" s="80"/>
      <c r="H53" s="80"/>
      <c r="I53" s="80"/>
      <c r="J53" s="80"/>
      <c r="K53" s="80"/>
    </row>
    <row r="54" spans="2:11" ht="15.75" customHeight="1">
      <c r="B54" s="731" t="s">
        <v>192</v>
      </c>
      <c r="C54" s="731"/>
      <c r="D54" s="731"/>
      <c r="E54" s="731"/>
      <c r="F54" s="731"/>
      <c r="G54" s="731"/>
      <c r="H54" s="731"/>
      <c r="I54" s="731"/>
      <c r="J54" s="731"/>
      <c r="K54" s="731"/>
    </row>
    <row r="55" spans="2:11" ht="16.5" customHeight="1">
      <c r="B55" s="10"/>
      <c r="C55" s="10"/>
      <c r="D55" s="10"/>
      <c r="E55" s="10"/>
      <c r="F55" s="10"/>
      <c r="G55" s="10"/>
      <c r="H55" s="10"/>
      <c r="I55" s="10"/>
      <c r="J55" s="10"/>
      <c r="K55" s="10"/>
    </row>
    <row r="56" spans="2:11" ht="23.25" customHeight="1">
      <c r="B56" s="10"/>
      <c r="C56" s="102" t="s">
        <v>193</v>
      </c>
      <c r="D56" s="102" t="s">
        <v>194</v>
      </c>
      <c r="E56" s="102" t="s">
        <v>195</v>
      </c>
      <c r="F56" s="10"/>
      <c r="G56" s="10"/>
      <c r="H56" s="10"/>
      <c r="I56" s="10"/>
      <c r="J56" s="10"/>
      <c r="K56" s="10"/>
    </row>
    <row r="57" spans="3:5" s="10" customFormat="1" ht="16.5" customHeight="1">
      <c r="C57" s="103" t="s">
        <v>196</v>
      </c>
      <c r="D57" s="103" t="s">
        <v>197</v>
      </c>
      <c r="E57" s="103">
        <v>4.54609</v>
      </c>
    </row>
    <row r="58" spans="2:11" ht="12.75">
      <c r="B58" s="10"/>
      <c r="C58" s="103" t="s">
        <v>198</v>
      </c>
      <c r="D58" s="103" t="s">
        <v>197</v>
      </c>
      <c r="E58" s="103">
        <v>3.785411784</v>
      </c>
      <c r="F58" s="10"/>
      <c r="G58" s="10"/>
      <c r="H58" s="10"/>
      <c r="I58" s="10"/>
      <c r="J58" s="10"/>
      <c r="K58" s="10"/>
    </row>
    <row r="59" spans="2:11" ht="12.75">
      <c r="B59" s="10"/>
      <c r="C59" s="104" t="s">
        <v>199</v>
      </c>
      <c r="D59" s="103" t="s">
        <v>197</v>
      </c>
      <c r="E59" s="103">
        <v>1000</v>
      </c>
      <c r="F59" s="10"/>
      <c r="G59" s="10"/>
      <c r="H59" s="10"/>
      <c r="I59" s="10"/>
      <c r="J59" s="10"/>
      <c r="K59" s="10"/>
    </row>
    <row r="60" spans="2:11" ht="12.75">
      <c r="B60" s="10"/>
      <c r="C60" s="104" t="s">
        <v>197</v>
      </c>
      <c r="D60" s="105" t="s">
        <v>199</v>
      </c>
      <c r="E60" s="103">
        <v>0.001</v>
      </c>
      <c r="F60" s="10"/>
      <c r="G60" s="10"/>
      <c r="H60" s="10"/>
      <c r="I60" s="10"/>
      <c r="J60" s="10"/>
      <c r="K60" s="10"/>
    </row>
    <row r="61" spans="2:11" ht="12.75">
      <c r="B61" s="10"/>
      <c r="C61" s="104" t="s">
        <v>200</v>
      </c>
      <c r="D61" s="103" t="s">
        <v>197</v>
      </c>
      <c r="E61" s="103">
        <v>0.001</v>
      </c>
      <c r="F61" s="10"/>
      <c r="G61" s="10"/>
      <c r="H61" s="10"/>
      <c r="I61" s="10"/>
      <c r="J61" s="10"/>
      <c r="K61" s="10"/>
    </row>
  </sheetData>
  <sheetProtection/>
  <mergeCells count="40">
    <mergeCell ref="B3:K3"/>
    <mergeCell ref="B12:K12"/>
    <mergeCell ref="B14:K14"/>
    <mergeCell ref="B5:K5"/>
    <mergeCell ref="B7:K7"/>
    <mergeCell ref="B15:K15"/>
    <mergeCell ref="B8:K8"/>
    <mergeCell ref="B9:K9"/>
    <mergeCell ref="B10:K10"/>
    <mergeCell ref="B11:K11"/>
    <mergeCell ref="B50:K50"/>
    <mergeCell ref="B49:K49"/>
    <mergeCell ref="C26:K26"/>
    <mergeCell ref="C29:K29"/>
    <mergeCell ref="B45:K45"/>
    <mergeCell ref="B17:K17"/>
    <mergeCell ref="B18:K18"/>
    <mergeCell ref="B22:K22"/>
    <mergeCell ref="C37:K37"/>
    <mergeCell ref="B41:K41"/>
    <mergeCell ref="B52:K52"/>
    <mergeCell ref="B42:K42"/>
    <mergeCell ref="C28:K28"/>
    <mergeCell ref="B13:K13"/>
    <mergeCell ref="B20:K20"/>
    <mergeCell ref="C30:K30"/>
    <mergeCell ref="B16:K16"/>
    <mergeCell ref="C23:K23"/>
    <mergeCell ref="C25:K25"/>
    <mergeCell ref="B43:K43"/>
    <mergeCell ref="C24:K24"/>
    <mergeCell ref="B54:K54"/>
    <mergeCell ref="C27:K27"/>
    <mergeCell ref="B47:K47"/>
    <mergeCell ref="B46:K46"/>
    <mergeCell ref="B39:K39"/>
    <mergeCell ref="B44:K44"/>
    <mergeCell ref="B48:K48"/>
    <mergeCell ref="B51:K51"/>
    <mergeCell ref="C31:K3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5.75">
      <c r="B1" s="29" t="s">
        <v>159</v>
      </c>
    </row>
    <row r="2" ht="7.5" customHeight="1"/>
    <row r="3" spans="2:4" ht="18">
      <c r="B3" s="756" t="s">
        <v>201</v>
      </c>
      <c r="C3" s="756"/>
      <c r="D3" s="756"/>
    </row>
    <row r="4" spans="2:4" ht="12.75" customHeight="1">
      <c r="B4" s="67"/>
      <c r="C4" s="106"/>
      <c r="D4" s="107"/>
    </row>
    <row r="5" spans="2:4" ht="15.75">
      <c r="B5" s="757" t="s">
        <v>332</v>
      </c>
      <c r="C5" s="757"/>
      <c r="D5" s="757"/>
    </row>
    <row r="6" spans="2:7" s="11" customFormat="1" ht="40.5" customHeight="1" thickBot="1">
      <c r="B6" s="759" t="s">
        <v>536</v>
      </c>
      <c r="C6" s="760"/>
      <c r="D6" s="760"/>
      <c r="E6" s="68"/>
      <c r="F6" s="69"/>
      <c r="G6" s="69"/>
    </row>
    <row r="7" spans="2:4" ht="40.5" customHeight="1">
      <c r="B7" s="108" t="s">
        <v>202</v>
      </c>
      <c r="C7" s="109" t="s">
        <v>518</v>
      </c>
      <c r="D7" s="110" t="s">
        <v>203</v>
      </c>
    </row>
    <row r="8" spans="2:7" s="11" customFormat="1" ht="40.5" customHeight="1">
      <c r="B8" s="112" t="s">
        <v>372</v>
      </c>
      <c r="C8" s="118" t="s">
        <v>204</v>
      </c>
      <c r="D8" s="129" t="s">
        <v>548</v>
      </c>
      <c r="E8" s="70"/>
      <c r="F8" s="69"/>
      <c r="G8" s="69"/>
    </row>
    <row r="9" spans="2:7" s="11" customFormat="1" ht="117" customHeight="1">
      <c r="B9" s="112" t="s">
        <v>439</v>
      </c>
      <c r="C9" s="118" t="s">
        <v>205</v>
      </c>
      <c r="D9" s="129" t="s">
        <v>549</v>
      </c>
      <c r="E9" s="70"/>
      <c r="F9" s="69"/>
      <c r="G9" s="69"/>
    </row>
    <row r="10" spans="2:7" s="11" customFormat="1" ht="67.5" customHeight="1">
      <c r="B10" s="128" t="s">
        <v>421</v>
      </c>
      <c r="C10" s="130" t="s">
        <v>258</v>
      </c>
      <c r="D10" s="134" t="s">
        <v>322</v>
      </c>
      <c r="E10" s="70"/>
      <c r="F10" s="69"/>
      <c r="G10" s="69"/>
    </row>
    <row r="11" spans="2:7" s="11" customFormat="1" ht="38.25">
      <c r="B11" s="560" t="s">
        <v>537</v>
      </c>
      <c r="C11" s="561" t="s">
        <v>538</v>
      </c>
      <c r="D11" s="134" t="s">
        <v>539</v>
      </c>
      <c r="E11" s="70"/>
      <c r="F11" s="69"/>
      <c r="G11" s="69"/>
    </row>
    <row r="12" spans="2:7" s="11" customFormat="1" ht="66.75" customHeight="1">
      <c r="B12" s="112" t="s">
        <v>371</v>
      </c>
      <c r="C12" s="118" t="s">
        <v>259</v>
      </c>
      <c r="D12" s="122" t="s">
        <v>320</v>
      </c>
      <c r="E12" s="70"/>
      <c r="F12" s="69"/>
      <c r="G12" s="69"/>
    </row>
    <row r="13" spans="2:7" s="11" customFormat="1" ht="63.75">
      <c r="B13" s="116" t="s">
        <v>540</v>
      </c>
      <c r="C13" s="125" t="s">
        <v>542</v>
      </c>
      <c r="D13" s="562" t="s">
        <v>545</v>
      </c>
      <c r="E13" s="70"/>
      <c r="F13" s="69"/>
      <c r="G13" s="69"/>
    </row>
    <row r="14" spans="2:7" s="11" customFormat="1" ht="51">
      <c r="B14" s="115" t="s">
        <v>651</v>
      </c>
      <c r="C14" s="125" t="s">
        <v>543</v>
      </c>
      <c r="D14" s="562" t="s">
        <v>544</v>
      </c>
      <c r="E14" s="70"/>
      <c r="F14" s="69"/>
      <c r="G14" s="69"/>
    </row>
    <row r="15" spans="2:7" s="11" customFormat="1" ht="51.75" thickBot="1">
      <c r="B15" s="563" t="s">
        <v>541</v>
      </c>
      <c r="C15" s="124" t="s">
        <v>546</v>
      </c>
      <c r="D15" s="564" t="s">
        <v>547</v>
      </c>
      <c r="E15" s="70"/>
      <c r="F15" s="69"/>
      <c r="G15" s="69"/>
    </row>
    <row r="16" spans="2:4" ht="9" customHeight="1">
      <c r="B16" s="111"/>
      <c r="C16" s="106"/>
      <c r="D16" s="107"/>
    </row>
    <row r="17" spans="2:11" ht="18" customHeight="1">
      <c r="B17" s="758" t="s">
        <v>652</v>
      </c>
      <c r="C17" s="758"/>
      <c r="D17" s="758"/>
      <c r="H17" s="11"/>
      <c r="I17" s="11"/>
      <c r="J17" s="11"/>
      <c r="K17" s="11"/>
    </row>
    <row r="18" spans="2:11" ht="9" customHeight="1" thickBot="1">
      <c r="B18" s="666"/>
      <c r="C18" s="666"/>
      <c r="D18" s="666"/>
      <c r="H18" s="11"/>
      <c r="I18" s="11"/>
      <c r="J18" s="11"/>
      <c r="K18" s="11"/>
    </row>
    <row r="19" spans="2:11" ht="32.25" customHeight="1">
      <c r="B19" s="113" t="s">
        <v>206</v>
      </c>
      <c r="C19" s="119" t="s">
        <v>207</v>
      </c>
      <c r="D19" s="120" t="s">
        <v>208</v>
      </c>
      <c r="E19" s="665"/>
      <c r="F19" s="11"/>
      <c r="G19" s="11"/>
      <c r="H19" s="11"/>
      <c r="I19" s="11"/>
      <c r="J19" s="11"/>
      <c r="K19" s="11"/>
    </row>
    <row r="20" spans="2:4" ht="30" customHeight="1">
      <c r="B20" s="114" t="s">
        <v>387</v>
      </c>
      <c r="C20" s="118" t="s">
        <v>209</v>
      </c>
      <c r="D20" s="121" t="s">
        <v>210</v>
      </c>
    </row>
    <row r="21" spans="2:4" ht="66.75" customHeight="1">
      <c r="B21" s="114" t="s">
        <v>388</v>
      </c>
      <c r="C21" s="118" t="s">
        <v>211</v>
      </c>
      <c r="D21" s="122" t="s">
        <v>212</v>
      </c>
    </row>
    <row r="22" spans="2:4" ht="69" customHeight="1">
      <c r="B22" s="114" t="s">
        <v>389</v>
      </c>
      <c r="C22" s="118" t="s">
        <v>213</v>
      </c>
      <c r="D22" s="121" t="s">
        <v>445</v>
      </c>
    </row>
    <row r="23" spans="2:4" ht="39" customHeight="1">
      <c r="B23" s="114" t="s">
        <v>390</v>
      </c>
      <c r="C23" s="118" t="s">
        <v>214</v>
      </c>
      <c r="D23" s="121" t="s">
        <v>215</v>
      </c>
    </row>
    <row r="24" spans="2:4" ht="27" customHeight="1">
      <c r="B24" s="114" t="s">
        <v>391</v>
      </c>
      <c r="C24" s="118" t="s">
        <v>171</v>
      </c>
      <c r="D24" s="122" t="s">
        <v>216</v>
      </c>
    </row>
    <row r="25" spans="2:4" ht="40.5" customHeight="1">
      <c r="B25" s="114" t="s">
        <v>392</v>
      </c>
      <c r="C25" s="118" t="s">
        <v>217</v>
      </c>
      <c r="D25" s="121" t="s">
        <v>218</v>
      </c>
    </row>
    <row r="26" spans="2:4" ht="28.5" customHeight="1">
      <c r="B26" s="114" t="s">
        <v>398</v>
      </c>
      <c r="C26" s="118" t="s">
        <v>446</v>
      </c>
      <c r="D26" s="121" t="s">
        <v>219</v>
      </c>
    </row>
    <row r="27" spans="2:4" ht="26.25" customHeight="1">
      <c r="B27" s="114" t="s">
        <v>399</v>
      </c>
      <c r="C27" s="118" t="s">
        <v>447</v>
      </c>
      <c r="D27" s="121" t="s">
        <v>448</v>
      </c>
    </row>
    <row r="28" spans="2:4" ht="42" customHeight="1">
      <c r="B28" s="114" t="s">
        <v>442</v>
      </c>
      <c r="C28" s="118" t="s">
        <v>220</v>
      </c>
      <c r="D28" s="121" t="s">
        <v>221</v>
      </c>
    </row>
    <row r="29" spans="2:4" ht="27.75" customHeight="1">
      <c r="B29" s="114" t="s">
        <v>422</v>
      </c>
      <c r="C29" s="118" t="s">
        <v>222</v>
      </c>
      <c r="D29" s="121" t="s">
        <v>223</v>
      </c>
    </row>
    <row r="30" spans="1:4" ht="95.25" customHeight="1">
      <c r="A30" s="11"/>
      <c r="B30" s="114" t="s">
        <v>425</v>
      </c>
      <c r="C30" s="118" t="s">
        <v>224</v>
      </c>
      <c r="D30" s="123" t="s">
        <v>521</v>
      </c>
    </row>
    <row r="31" spans="2:7" s="11" customFormat="1" ht="78.75" customHeight="1">
      <c r="B31" s="114" t="s">
        <v>425</v>
      </c>
      <c r="C31" s="118" t="s">
        <v>225</v>
      </c>
      <c r="D31" s="123" t="s">
        <v>234</v>
      </c>
      <c r="E31" s="68"/>
      <c r="F31" s="69"/>
      <c r="G31" s="69"/>
    </row>
    <row r="32" spans="2:4" ht="27" customHeight="1">
      <c r="B32" s="115" t="s">
        <v>443</v>
      </c>
      <c r="C32" s="118" t="s">
        <v>235</v>
      </c>
      <c r="D32" s="123" t="s">
        <v>479</v>
      </c>
    </row>
    <row r="33" spans="2:7" s="11" customFormat="1" ht="30" customHeight="1">
      <c r="B33" s="114" t="s">
        <v>393</v>
      </c>
      <c r="C33" s="118" t="s">
        <v>449</v>
      </c>
      <c r="D33" s="123" t="s">
        <v>236</v>
      </c>
      <c r="E33" s="68"/>
      <c r="F33" s="69"/>
      <c r="G33" s="69"/>
    </row>
    <row r="34" spans="2:7" s="11" customFormat="1" ht="67.5" customHeight="1">
      <c r="B34" s="114" t="s">
        <v>444</v>
      </c>
      <c r="C34" s="118" t="s">
        <v>618</v>
      </c>
      <c r="D34" s="123" t="s">
        <v>653</v>
      </c>
      <c r="E34" s="68"/>
      <c r="F34" s="69"/>
      <c r="G34" s="69"/>
    </row>
    <row r="35" spans="2:7" s="11" customFormat="1" ht="30" customHeight="1">
      <c r="B35" s="115" t="s">
        <v>485</v>
      </c>
      <c r="C35" s="118" t="s">
        <v>225</v>
      </c>
      <c r="D35" s="667" t="s">
        <v>620</v>
      </c>
      <c r="E35" s="68"/>
      <c r="F35" s="69"/>
      <c r="G35" s="69"/>
    </row>
    <row r="36" spans="2:7" s="11" customFormat="1" ht="21.75" customHeight="1">
      <c r="B36" s="115" t="s">
        <v>508</v>
      </c>
      <c r="C36" s="118" t="s">
        <v>640</v>
      </c>
      <c r="D36" s="667" t="s">
        <v>621</v>
      </c>
      <c r="E36" s="68"/>
      <c r="F36" s="69"/>
      <c r="G36" s="69"/>
    </row>
    <row r="37" spans="2:7" s="11" customFormat="1" ht="78" customHeight="1">
      <c r="B37" s="115" t="s">
        <v>509</v>
      </c>
      <c r="C37" s="127" t="s">
        <v>237</v>
      </c>
      <c r="D37" s="122" t="s">
        <v>326</v>
      </c>
      <c r="E37" s="68"/>
      <c r="F37" s="69"/>
      <c r="G37" s="69"/>
    </row>
    <row r="38" spans="2:7" s="11" customFormat="1" ht="30" customHeight="1">
      <c r="B38" s="115" t="s">
        <v>622</v>
      </c>
      <c r="C38" s="127" t="s">
        <v>654</v>
      </c>
      <c r="D38" s="122" t="s">
        <v>238</v>
      </c>
      <c r="E38" s="68"/>
      <c r="F38" s="69"/>
      <c r="G38" s="69"/>
    </row>
    <row r="39" spans="2:7" s="11" customFormat="1" ht="51.75" customHeight="1">
      <c r="B39" s="115" t="s">
        <v>486</v>
      </c>
      <c r="C39" s="127" t="s">
        <v>327</v>
      </c>
      <c r="D39" s="122" t="s">
        <v>121</v>
      </c>
      <c r="E39" s="68"/>
      <c r="F39" s="69"/>
      <c r="G39" s="69"/>
    </row>
    <row r="40" spans="2:7" s="11" customFormat="1" ht="30" customHeight="1">
      <c r="B40" s="115" t="s">
        <v>623</v>
      </c>
      <c r="C40" s="125" t="s">
        <v>252</v>
      </c>
      <c r="D40" s="122" t="s">
        <v>125</v>
      </c>
      <c r="E40" s="68"/>
      <c r="F40" s="69"/>
      <c r="G40" s="69"/>
    </row>
    <row r="41" spans="2:7" s="11" customFormat="1" ht="51.75" customHeight="1">
      <c r="B41" s="115" t="s">
        <v>494</v>
      </c>
      <c r="C41" s="132" t="s">
        <v>553</v>
      </c>
      <c r="D41" s="122" t="s">
        <v>550</v>
      </c>
      <c r="E41" s="68"/>
      <c r="F41" s="69"/>
      <c r="G41" s="69"/>
    </row>
    <row r="42" spans="2:7" s="11" customFormat="1" ht="40.5" customHeight="1">
      <c r="B42" s="115" t="s">
        <v>495</v>
      </c>
      <c r="C42" s="127" t="s">
        <v>328</v>
      </c>
      <c r="D42" s="122" t="s">
        <v>122</v>
      </c>
      <c r="E42" s="68"/>
      <c r="F42" s="69"/>
      <c r="G42" s="69"/>
    </row>
    <row r="43" spans="2:7" s="11" customFormat="1" ht="63.75">
      <c r="B43" s="115" t="s">
        <v>624</v>
      </c>
      <c r="C43" s="127" t="s">
        <v>552</v>
      </c>
      <c r="D43" s="122" t="s">
        <v>551</v>
      </c>
      <c r="E43" s="68"/>
      <c r="F43" s="69"/>
      <c r="G43" s="69"/>
    </row>
    <row r="44" spans="2:7" s="11" customFormat="1" ht="52.5" customHeight="1">
      <c r="B44" s="115" t="s">
        <v>496</v>
      </c>
      <c r="C44" s="127" t="s">
        <v>554</v>
      </c>
      <c r="D44" s="122" t="s">
        <v>123</v>
      </c>
      <c r="E44" s="68"/>
      <c r="F44" s="69"/>
      <c r="G44" s="69"/>
    </row>
    <row r="45" spans="2:7" s="11" customFormat="1" ht="39.75" customHeight="1">
      <c r="B45" s="115" t="s">
        <v>497</v>
      </c>
      <c r="C45" s="127" t="s">
        <v>555</v>
      </c>
      <c r="D45" s="122" t="s">
        <v>556</v>
      </c>
      <c r="E45" s="68"/>
      <c r="F45" s="69"/>
      <c r="G45" s="69"/>
    </row>
    <row r="46" spans="2:7" s="11" customFormat="1" ht="39.75" customHeight="1">
      <c r="B46" s="115" t="s">
        <v>625</v>
      </c>
      <c r="C46" s="127" t="s">
        <v>239</v>
      </c>
      <c r="D46" s="122" t="s">
        <v>124</v>
      </c>
      <c r="E46" s="68"/>
      <c r="F46" s="69"/>
      <c r="G46" s="69"/>
    </row>
    <row r="47" spans="2:4" ht="15.75" customHeight="1">
      <c r="B47" s="115" t="s">
        <v>498</v>
      </c>
      <c r="C47" s="118" t="s">
        <v>240</v>
      </c>
      <c r="D47" s="122" t="s">
        <v>241</v>
      </c>
    </row>
    <row r="48" spans="2:4" ht="39" customHeight="1">
      <c r="B48" s="115" t="s">
        <v>626</v>
      </c>
      <c r="C48" s="118" t="s">
        <v>242</v>
      </c>
      <c r="D48" s="122" t="s">
        <v>243</v>
      </c>
    </row>
    <row r="49" spans="2:4" ht="31.5" customHeight="1">
      <c r="B49" s="115" t="s">
        <v>557</v>
      </c>
      <c r="C49" s="118" t="s">
        <v>450</v>
      </c>
      <c r="D49" s="122" t="s">
        <v>244</v>
      </c>
    </row>
    <row r="50" spans="2:4" ht="30.75" customHeight="1">
      <c r="B50" s="115" t="s">
        <v>627</v>
      </c>
      <c r="C50" s="118" t="s">
        <v>245</v>
      </c>
      <c r="D50" s="122" t="s">
        <v>246</v>
      </c>
    </row>
    <row r="51" spans="2:4" ht="27" customHeight="1">
      <c r="B51" s="115" t="s">
        <v>631</v>
      </c>
      <c r="C51" s="118" t="s">
        <v>247</v>
      </c>
      <c r="D51" s="598" t="s">
        <v>628</v>
      </c>
    </row>
    <row r="52" spans="2:4" ht="45" customHeight="1">
      <c r="B52" s="115" t="s">
        <v>558</v>
      </c>
      <c r="C52" s="597" t="s">
        <v>248</v>
      </c>
      <c r="D52" s="668" t="s">
        <v>655</v>
      </c>
    </row>
    <row r="53" spans="2:4" ht="52.5" customHeight="1">
      <c r="B53" s="115" t="s">
        <v>581</v>
      </c>
      <c r="C53" s="597" t="s">
        <v>629</v>
      </c>
      <c r="D53" s="598" t="s">
        <v>630</v>
      </c>
    </row>
    <row r="54" spans="2:4" ht="39.75" customHeight="1">
      <c r="B54" s="115" t="s">
        <v>632</v>
      </c>
      <c r="C54" s="127" t="s">
        <v>249</v>
      </c>
      <c r="D54" s="122" t="s">
        <v>250</v>
      </c>
    </row>
    <row r="55" spans="2:4" ht="39.75" customHeight="1">
      <c r="B55" s="669" t="s">
        <v>559</v>
      </c>
      <c r="C55" s="135" t="s">
        <v>329</v>
      </c>
      <c r="D55" s="131" t="s">
        <v>251</v>
      </c>
    </row>
    <row r="56" spans="1:7" s="11" customFormat="1" ht="38.25">
      <c r="A56" s="2"/>
      <c r="B56" s="116" t="s">
        <v>561</v>
      </c>
      <c r="C56" s="132" t="s">
        <v>568</v>
      </c>
      <c r="D56" s="122" t="s">
        <v>560</v>
      </c>
      <c r="E56" s="68"/>
      <c r="F56" s="69"/>
      <c r="G56" s="69"/>
    </row>
    <row r="57" spans="1:7" s="11" customFormat="1" ht="40.5" customHeight="1">
      <c r="A57" s="2"/>
      <c r="B57" s="116" t="s">
        <v>562</v>
      </c>
      <c r="C57" s="132" t="s">
        <v>567</v>
      </c>
      <c r="D57" s="122" t="s">
        <v>321</v>
      </c>
      <c r="E57" s="68"/>
      <c r="F57" s="69"/>
      <c r="G57" s="69"/>
    </row>
    <row r="58" spans="1:7" s="11" customFormat="1" ht="63.75">
      <c r="A58" s="2"/>
      <c r="B58" s="116" t="s">
        <v>563</v>
      </c>
      <c r="C58" s="132" t="s">
        <v>570</v>
      </c>
      <c r="D58" s="122" t="s">
        <v>582</v>
      </c>
      <c r="E58" s="68"/>
      <c r="F58" s="69"/>
      <c r="G58" s="69"/>
    </row>
    <row r="59" spans="1:7" s="11" customFormat="1" ht="41.25" customHeight="1">
      <c r="A59" s="2"/>
      <c r="B59" s="115" t="s">
        <v>569</v>
      </c>
      <c r="C59" s="132" t="s">
        <v>566</v>
      </c>
      <c r="D59" s="122" t="s">
        <v>253</v>
      </c>
      <c r="E59" s="68"/>
      <c r="F59" s="69"/>
      <c r="G59" s="69"/>
    </row>
    <row r="60" spans="1:7" s="11" customFormat="1" ht="41.25" customHeight="1">
      <c r="A60" s="2"/>
      <c r="B60" s="116" t="s">
        <v>633</v>
      </c>
      <c r="C60" s="132" t="s">
        <v>565</v>
      </c>
      <c r="D60" s="122" t="s">
        <v>564</v>
      </c>
      <c r="E60" s="68"/>
      <c r="F60" s="69"/>
      <c r="G60" s="69"/>
    </row>
    <row r="61" spans="1:7" s="11" customFormat="1" ht="26.25" customHeight="1">
      <c r="A61" s="2"/>
      <c r="B61" s="114" t="s">
        <v>634</v>
      </c>
      <c r="C61" s="127" t="s">
        <v>254</v>
      </c>
      <c r="D61" s="122" t="s">
        <v>255</v>
      </c>
      <c r="E61" s="68"/>
      <c r="F61" s="69"/>
      <c r="G61" s="69"/>
    </row>
    <row r="62" spans="1:4" ht="40.5" customHeight="1">
      <c r="A62" s="11"/>
      <c r="B62" s="115" t="s">
        <v>499</v>
      </c>
      <c r="C62" s="118" t="s">
        <v>256</v>
      </c>
      <c r="D62" s="122" t="s">
        <v>333</v>
      </c>
    </row>
    <row r="63" spans="1:4" ht="40.5" customHeight="1">
      <c r="A63" s="11"/>
      <c r="B63" s="115" t="s">
        <v>635</v>
      </c>
      <c r="C63" s="118" t="s">
        <v>330</v>
      </c>
      <c r="D63" s="122" t="s">
        <v>656</v>
      </c>
    </row>
    <row r="64" spans="2:7" s="11" customFormat="1" ht="43.5" customHeight="1">
      <c r="B64" s="115" t="s">
        <v>500</v>
      </c>
      <c r="C64" s="118" t="s">
        <v>257</v>
      </c>
      <c r="D64" s="122" t="s">
        <v>260</v>
      </c>
      <c r="E64" s="68"/>
      <c r="F64" s="69"/>
      <c r="G64" s="69"/>
    </row>
    <row r="65" spans="2:7" s="11" customFormat="1" ht="41.25" customHeight="1">
      <c r="B65" s="115" t="s">
        <v>482</v>
      </c>
      <c r="C65" s="118" t="s">
        <v>261</v>
      </c>
      <c r="D65" s="122" t="s">
        <v>262</v>
      </c>
      <c r="E65" s="68"/>
      <c r="F65" s="69"/>
      <c r="G65" s="69"/>
    </row>
    <row r="66" spans="2:7" s="11" customFormat="1" ht="41.25" customHeight="1">
      <c r="B66" s="115" t="s">
        <v>483</v>
      </c>
      <c r="C66" s="118" t="s">
        <v>263</v>
      </c>
      <c r="D66" s="122" t="s">
        <v>264</v>
      </c>
      <c r="E66" s="68"/>
      <c r="F66" s="69"/>
      <c r="G66" s="69"/>
    </row>
    <row r="67" spans="2:7" s="11" customFormat="1" ht="41.25" customHeight="1">
      <c r="B67" s="115" t="s">
        <v>484</v>
      </c>
      <c r="C67" s="118" t="s">
        <v>266</v>
      </c>
      <c r="D67" s="122" t="s">
        <v>265</v>
      </c>
      <c r="E67" s="68"/>
      <c r="F67" s="69"/>
      <c r="G67" s="69"/>
    </row>
    <row r="68" spans="2:7" s="11" customFormat="1" ht="64.5" customHeight="1">
      <c r="B68" s="115" t="s">
        <v>505</v>
      </c>
      <c r="C68" s="118" t="s">
        <v>451</v>
      </c>
      <c r="D68" s="123" t="s">
        <v>571</v>
      </c>
      <c r="E68" s="68"/>
      <c r="F68" s="69"/>
      <c r="G68" s="69"/>
    </row>
    <row r="69" spans="2:7" s="11" customFormat="1" ht="25.5">
      <c r="B69" s="115" t="s">
        <v>573</v>
      </c>
      <c r="C69" s="127" t="s">
        <v>269</v>
      </c>
      <c r="D69" s="123" t="s">
        <v>126</v>
      </c>
      <c r="E69" s="68"/>
      <c r="F69" s="69"/>
      <c r="G69" s="69"/>
    </row>
    <row r="70" spans="1:7" s="11" customFormat="1" ht="54.75" customHeight="1">
      <c r="A70" s="2"/>
      <c r="B70" s="115" t="s">
        <v>574</v>
      </c>
      <c r="C70" s="118" t="s">
        <v>270</v>
      </c>
      <c r="D70" s="122" t="s">
        <v>271</v>
      </c>
      <c r="E70" s="68"/>
      <c r="F70" s="69"/>
      <c r="G70" s="69"/>
    </row>
    <row r="71" spans="1:7" s="11" customFormat="1" ht="54" customHeight="1">
      <c r="A71" s="2"/>
      <c r="B71" s="115" t="s">
        <v>572</v>
      </c>
      <c r="C71" s="118" t="s">
        <v>272</v>
      </c>
      <c r="D71" s="122" t="s">
        <v>452</v>
      </c>
      <c r="E71" s="68"/>
      <c r="F71" s="69"/>
      <c r="G71" s="69"/>
    </row>
    <row r="72" spans="1:7" s="11" customFormat="1" ht="58.5" customHeight="1">
      <c r="A72" s="2"/>
      <c r="B72" s="115" t="s">
        <v>575</v>
      </c>
      <c r="C72" s="118" t="s">
        <v>273</v>
      </c>
      <c r="D72" s="122" t="s">
        <v>275</v>
      </c>
      <c r="E72" s="68"/>
      <c r="F72" s="69"/>
      <c r="G72" s="69"/>
    </row>
    <row r="73" spans="2:4" ht="57" customHeight="1">
      <c r="B73" s="115" t="s">
        <v>576</v>
      </c>
      <c r="C73" s="118" t="s">
        <v>274</v>
      </c>
      <c r="D73" s="122" t="s">
        <v>276</v>
      </c>
    </row>
    <row r="74" spans="2:4" ht="80.25" customHeight="1">
      <c r="B74" s="115" t="s">
        <v>577</v>
      </c>
      <c r="C74" s="118" t="s">
        <v>277</v>
      </c>
      <c r="D74" s="122" t="s">
        <v>506</v>
      </c>
    </row>
    <row r="75" spans="1:4" ht="51.75" customHeight="1">
      <c r="A75" s="73"/>
      <c r="B75" s="115" t="s">
        <v>578</v>
      </c>
      <c r="C75" s="118" t="s">
        <v>278</v>
      </c>
      <c r="D75" s="123" t="s">
        <v>453</v>
      </c>
    </row>
    <row r="76" spans="1:7" s="21" customFormat="1" ht="38.25">
      <c r="A76" s="2"/>
      <c r="B76" s="115" t="s">
        <v>579</v>
      </c>
      <c r="C76" s="118" t="s">
        <v>279</v>
      </c>
      <c r="D76" s="122" t="s">
        <v>280</v>
      </c>
      <c r="E76" s="68"/>
      <c r="F76" s="71"/>
      <c r="G76" s="71"/>
    </row>
    <row r="77" spans="2:4" ht="38.25" customHeight="1">
      <c r="B77" s="115" t="s">
        <v>501</v>
      </c>
      <c r="C77" s="118" t="s">
        <v>281</v>
      </c>
      <c r="D77" s="122" t="s">
        <v>454</v>
      </c>
    </row>
    <row r="78" spans="1:4" ht="40.5" customHeight="1">
      <c r="A78" s="11"/>
      <c r="B78" s="115" t="s">
        <v>502</v>
      </c>
      <c r="C78" s="118" t="s">
        <v>226</v>
      </c>
      <c r="D78" s="122" t="s">
        <v>455</v>
      </c>
    </row>
    <row r="79" spans="1:4" ht="53.25" customHeight="1">
      <c r="A79" s="11"/>
      <c r="B79" s="115" t="s">
        <v>503</v>
      </c>
      <c r="C79" s="118" t="s">
        <v>282</v>
      </c>
      <c r="D79" s="122" t="s">
        <v>283</v>
      </c>
    </row>
    <row r="80" spans="2:7" s="11" customFormat="1" ht="42.75" customHeight="1">
      <c r="B80" s="115" t="s">
        <v>504</v>
      </c>
      <c r="C80" s="118" t="s">
        <v>127</v>
      </c>
      <c r="D80" s="122" t="s">
        <v>456</v>
      </c>
      <c r="E80" s="68"/>
      <c r="F80" s="69"/>
      <c r="G80" s="69"/>
    </row>
    <row r="81" spans="1:7" s="11" customFormat="1" ht="27.75" customHeight="1">
      <c r="A81" s="2"/>
      <c r="B81" s="114"/>
      <c r="C81" s="118" t="s">
        <v>284</v>
      </c>
      <c r="D81" s="122" t="s">
        <v>285</v>
      </c>
      <c r="E81" s="68"/>
      <c r="F81" s="69"/>
      <c r="G81" s="69"/>
    </row>
    <row r="82" spans="2:16" ht="38.25">
      <c r="B82" s="114"/>
      <c r="C82" s="125" t="s">
        <v>286</v>
      </c>
      <c r="D82" s="126" t="s">
        <v>400</v>
      </c>
      <c r="H82" s="11"/>
      <c r="I82" s="11"/>
      <c r="J82" s="11"/>
      <c r="K82" s="11"/>
      <c r="L82" s="11"/>
      <c r="M82" s="11"/>
      <c r="N82" s="11"/>
      <c r="O82" s="11"/>
      <c r="P82" s="11"/>
    </row>
    <row r="83" spans="2:16" ht="30" customHeight="1" thickBot="1">
      <c r="B83" s="117"/>
      <c r="C83" s="124" t="s">
        <v>287</v>
      </c>
      <c r="D83" s="133" t="s">
        <v>319</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75">
      <c r="A1" s="46"/>
      <c r="B1" s="46"/>
      <c r="C1" s="46"/>
      <c r="D1" s="47" t="s">
        <v>159</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61" t="s">
        <v>465</v>
      </c>
      <c r="E2" s="761"/>
      <c r="F2" s="761"/>
      <c r="G2" s="761"/>
      <c r="H2" s="761"/>
      <c r="I2" s="761"/>
      <c r="J2" s="761"/>
      <c r="K2" s="761"/>
      <c r="L2" s="761"/>
      <c r="M2" s="761"/>
      <c r="N2" s="761"/>
      <c r="O2" s="761"/>
      <c r="P2" s="761"/>
      <c r="Q2" s="761"/>
      <c r="R2" s="761"/>
      <c r="S2" s="761"/>
      <c r="T2" s="761"/>
      <c r="U2" s="761"/>
      <c r="V2" s="761"/>
      <c r="W2" s="761"/>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75">
      <c r="A3" s="46"/>
      <c r="B3" s="46"/>
      <c r="C3" s="46"/>
      <c r="D3" s="762" t="s">
        <v>288</v>
      </c>
      <c r="E3" s="762"/>
      <c r="F3" s="762"/>
      <c r="G3" s="762"/>
      <c r="H3" s="762"/>
      <c r="I3" s="762"/>
      <c r="J3" s="762"/>
      <c r="K3" s="762"/>
      <c r="L3" s="762"/>
      <c r="M3" s="762"/>
      <c r="N3" s="762"/>
      <c r="O3" s="762"/>
      <c r="P3" s="762"/>
      <c r="Q3" s="762"/>
      <c r="R3" s="762"/>
      <c r="S3" s="762"/>
      <c r="T3" s="762"/>
      <c r="U3" s="762"/>
      <c r="V3" s="762"/>
      <c r="W3" s="762"/>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78" t="str">
        <f>LEFT('W1'!D10,LEN('W1'!D10)-7)&amp;" (W1,3)"</f>
        <v>Flux interne  (W1,3)</v>
      </c>
      <c r="G10" s="779"/>
      <c r="H10" s="654"/>
      <c r="I10" s="601"/>
      <c r="J10" s="654"/>
      <c r="K10" s="654"/>
      <c r="L10" s="654"/>
      <c r="M10" s="654"/>
      <c r="N10" s="654"/>
      <c r="O10" s="654"/>
      <c r="P10" s="654"/>
      <c r="Q10" s="780" t="s">
        <v>422</v>
      </c>
      <c r="R10" s="771" t="s">
        <v>425</v>
      </c>
      <c r="S10" s="772"/>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3" t="str">
        <f>'W1'!D13&amp;" (W1,6)"</f>
        <v>Flux sortant d’eaux de surface et d’eaux souterraines vers les pays voisins (W1,6)</v>
      </c>
      <c r="J11" s="764"/>
      <c r="K11" s="654"/>
      <c r="L11" s="656"/>
      <c r="M11" s="656"/>
      <c r="N11" s="656"/>
      <c r="O11" s="654"/>
      <c r="P11" s="654"/>
      <c r="Q11" s="781"/>
      <c r="R11" s="773"/>
      <c r="S11" s="774"/>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3" t="str">
        <f>'W1'!D16&amp;" (W1,9)"</f>
        <v>Flux sortant d’eaux de surface et d’eaux souterraines vers la mer (W1,9)</v>
      </c>
      <c r="J13" s="764"/>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82" t="str">
        <f>'W2'!D13</f>
        <v>Dont prélevés par :</v>
      </c>
      <c r="E15" s="783"/>
      <c r="F15" s="783"/>
      <c r="G15" s="783"/>
      <c r="H15" s="783"/>
      <c r="I15" s="783"/>
      <c r="J15" s="783"/>
      <c r="K15" s="784"/>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75" t="str">
        <f>LEFT('W2'!D10,LEN('W2'!D10)-7)&amp;" (W2,3)"</f>
        <v>Volume brut d’eau douce prélevé (W2,3)</v>
      </c>
      <c r="E19" s="785"/>
      <c r="F19" s="785"/>
      <c r="G19" s="785"/>
      <c r="H19" s="785"/>
      <c r="I19" s="785"/>
      <c r="J19" s="785"/>
      <c r="K19" s="776"/>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610"/>
      <c r="C21" s="621"/>
      <c r="D21" s="599"/>
      <c r="E21" s="599"/>
      <c r="F21" s="670"/>
      <c r="G21" s="670"/>
      <c r="H21" s="671"/>
      <c r="I21" s="671"/>
      <c r="J21" s="775" t="str">
        <f>LEFT('W2'!D12,LEN('W2'!D12)-7)&amp;" (W2,5)"</f>
        <v>Volume net d’eau douce prélevé (W2,5)</v>
      </c>
      <c r="K21" s="776"/>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69" t="str">
        <f>LEFT('W2'!D28,LEN('W2'!D28)-17)&amp;" (W2,20)"</f>
        <v>Quantité totale d’eau douce disponible et utilisable (W2,20)</v>
      </c>
      <c r="P22" s="654"/>
      <c r="Q22" s="769"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77"/>
      <c r="E23" s="777"/>
      <c r="F23" s="676"/>
      <c r="G23" s="786" t="str">
        <f>'W2'!D11&amp;" (W2,4)"</f>
        <v>Eaux restituées à l’environnement sans avoir été utilisées (W2,4)</v>
      </c>
      <c r="H23" s="787"/>
      <c r="I23" s="673"/>
      <c r="J23" s="775" t="str">
        <f>'W2'!D24&amp;" (W2,16)"</f>
        <v>Eau dessalée (W2,16)</v>
      </c>
      <c r="K23" s="776"/>
      <c r="L23" s="654"/>
      <c r="M23" s="599"/>
      <c r="N23" s="654"/>
      <c r="O23" s="770"/>
      <c r="P23" s="654"/>
      <c r="Q23" s="770"/>
      <c r="R23" s="767" t="str">
        <f>'W2'!D31</f>
        <v>Dont utilisés par :</v>
      </c>
      <c r="S23" s="768"/>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88"/>
      <c r="H24" s="789"/>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610"/>
      <c r="C25" s="621"/>
      <c r="D25" s="601"/>
      <c r="E25" s="601"/>
      <c r="F25" s="673"/>
      <c r="G25" s="674"/>
      <c r="H25" s="673"/>
      <c r="I25" s="673"/>
      <c r="J25" s="775" t="str">
        <f>'W2'!D25&amp;" (W2,17)"</f>
        <v>Eau réutilisée (W2,17)</v>
      </c>
      <c r="K25" s="776"/>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65"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610"/>
      <c r="C27" s="621"/>
      <c r="D27" s="654"/>
      <c r="E27" s="654"/>
      <c r="F27" s="654"/>
      <c r="G27" s="654"/>
      <c r="H27" s="654"/>
      <c r="I27" s="654"/>
      <c r="J27" s="775" t="str">
        <f>'W2'!D26&amp;" - "&amp;'W2'!D27&amp;" (= W2,18 - W2,19)"</f>
        <v>Importations d’eau - Exportations d’eau (= W2,18 - W2,19)</v>
      </c>
      <c r="K27" s="776"/>
      <c r="L27" s="654"/>
      <c r="M27" s="654"/>
      <c r="N27" s="654"/>
      <c r="O27" s="599"/>
      <c r="P27" s="766"/>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zoomScale="90" zoomScaleNormal="90" zoomScaleSheetLayoutView="55" workbookViewId="0" topLeftCell="C1">
      <selection activeCell="F8" sqref="F8"/>
    </sheetView>
  </sheetViews>
  <sheetFormatPr defaultColWidth="9.33203125" defaultRowHeight="12.75"/>
  <cols>
    <col min="1" max="1" width="8" style="136" hidden="1" customWidth="1"/>
    <col min="2" max="2" width="9" style="137" hidden="1" customWidth="1"/>
    <col min="3" max="3" width="7.83203125" style="150" customWidth="1"/>
    <col min="4" max="4" width="37" style="226" customWidth="1"/>
    <col min="5" max="5" width="10.16015625" style="227" customWidth="1"/>
    <col min="6" max="6" width="10.332031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519</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427</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2:86" ht="16.5" customHeight="1">
      <c r="B3" s="137">
        <v>20</v>
      </c>
      <c r="C3" s="159" t="s">
        <v>289</v>
      </c>
      <c r="D3" s="487" t="s">
        <v>134</v>
      </c>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290</v>
      </c>
      <c r="AF3" s="161"/>
      <c r="AG3" s="160"/>
      <c r="AH3" s="161"/>
      <c r="AI3" s="162"/>
      <c r="AJ3" s="161"/>
      <c r="AK3" s="160"/>
      <c r="AL3" s="282"/>
      <c r="AM3" s="281"/>
      <c r="AN3" s="282"/>
      <c r="AO3" s="281"/>
      <c r="AP3" s="281"/>
      <c r="AQ3" s="281"/>
      <c r="AR3" s="281"/>
      <c r="AS3" s="281"/>
      <c r="AT3" s="282"/>
      <c r="AU3" s="284"/>
      <c r="AV3" s="285"/>
      <c r="AW3" s="285"/>
      <c r="AX3" s="282"/>
      <c r="AY3" s="284"/>
      <c r="BB3" s="165" t="s">
        <v>403</v>
      </c>
      <c r="CG3" s="148"/>
      <c r="CH3" s="148"/>
    </row>
    <row r="4" spans="3:86" ht="2.25" customHeight="1">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BB4" s="522"/>
      <c r="CG4" s="148"/>
      <c r="CH4" s="148"/>
    </row>
    <row r="5" spans="1:87" s="171" customFormat="1" ht="17.25" customHeight="1">
      <c r="A5" s="166"/>
      <c r="B5" s="137">
        <v>1</v>
      </c>
      <c r="C5" s="796" t="s">
        <v>466</v>
      </c>
      <c r="D5" s="796"/>
      <c r="E5" s="816"/>
      <c r="F5" s="816"/>
      <c r="G5" s="816"/>
      <c r="H5" s="817"/>
      <c r="I5" s="817"/>
      <c r="J5" s="817"/>
      <c r="K5" s="817"/>
      <c r="L5" s="817"/>
      <c r="M5" s="817"/>
      <c r="N5" s="817"/>
      <c r="O5" s="817"/>
      <c r="P5" s="817"/>
      <c r="Q5" s="817"/>
      <c r="R5" s="817"/>
      <c r="S5" s="817"/>
      <c r="T5" s="817"/>
      <c r="U5" s="817"/>
      <c r="V5" s="817"/>
      <c r="W5" s="816"/>
      <c r="X5" s="817"/>
      <c r="Y5" s="816"/>
      <c r="Z5" s="817"/>
      <c r="AA5" s="816"/>
      <c r="AB5" s="817"/>
      <c r="AC5" s="816"/>
      <c r="AD5" s="817"/>
      <c r="AE5" s="816"/>
      <c r="AF5" s="817"/>
      <c r="AG5" s="816"/>
      <c r="AH5" s="817"/>
      <c r="AI5" s="817"/>
      <c r="AJ5" s="817"/>
      <c r="AK5" s="816"/>
      <c r="AL5" s="817"/>
      <c r="AM5" s="816"/>
      <c r="AN5" s="817"/>
      <c r="AO5" s="816"/>
      <c r="AP5" s="816"/>
      <c r="AQ5" s="816"/>
      <c r="AR5" s="816"/>
      <c r="AS5" s="816"/>
      <c r="AT5" s="817"/>
      <c r="AU5" s="167"/>
      <c r="AV5" s="168"/>
      <c r="AW5" s="168"/>
      <c r="AX5" s="168"/>
      <c r="AY5" s="167"/>
      <c r="AZ5" s="169"/>
      <c r="BA5" s="523"/>
      <c r="BB5" s="170" t="s">
        <v>404</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8"/>
      <c r="CD5" s="808"/>
      <c r="CE5" s="808"/>
      <c r="CF5" s="808"/>
      <c r="CG5" s="148"/>
      <c r="CH5" s="148"/>
      <c r="CI5" s="371"/>
    </row>
    <row r="6" spans="1:87" s="174" customFormat="1" ht="15.75" customHeight="1">
      <c r="A6" s="172"/>
      <c r="B6" s="173"/>
      <c r="D6" s="566"/>
      <c r="E6" s="566"/>
      <c r="F6" s="566"/>
      <c r="G6" s="566"/>
      <c r="H6" s="576" t="s">
        <v>458</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18"/>
      <c r="AM6" s="818"/>
      <c r="AN6" s="818"/>
      <c r="AO6" s="818"/>
      <c r="AP6" s="818"/>
      <c r="AQ6" s="818"/>
      <c r="AR6" s="818"/>
      <c r="AS6" s="818"/>
      <c r="AT6" s="818"/>
      <c r="AU6" s="818"/>
      <c r="AV6" s="818"/>
      <c r="AW6" s="818"/>
      <c r="AX6" s="818"/>
      <c r="AY6" s="818"/>
      <c r="AZ6" s="175"/>
      <c r="BA6" s="148"/>
      <c r="BB6" s="176" t="s">
        <v>636</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291</v>
      </c>
      <c r="D7" s="180" t="s">
        <v>292</v>
      </c>
      <c r="E7" s="181" t="s">
        <v>293</v>
      </c>
      <c r="F7" s="180" t="s">
        <v>522</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510</v>
      </c>
      <c r="BC7" s="180" t="s">
        <v>511</v>
      </c>
      <c r="BD7" s="180" t="s">
        <v>513</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209</v>
      </c>
      <c r="E8" s="189" t="s">
        <v>294</v>
      </c>
      <c r="F8" s="496">
        <v>420.95001220703125</v>
      </c>
      <c r="G8" s="502" t="s">
        <v>704</v>
      </c>
      <c r="H8" s="496">
        <v>471.779296875</v>
      </c>
      <c r="I8" s="502" t="s">
        <v>705</v>
      </c>
      <c r="J8" s="496">
        <v>424.8518981933594</v>
      </c>
      <c r="K8" s="502" t="s">
        <v>705</v>
      </c>
      <c r="L8" s="496">
        <v>489.5657958984375</v>
      </c>
      <c r="M8" s="502" t="s">
        <v>705</v>
      </c>
      <c r="N8" s="496">
        <v>427.2323913574219</v>
      </c>
      <c r="O8" s="502" t="s">
        <v>705</v>
      </c>
      <c r="P8" s="496">
        <v>518.2606811523438</v>
      </c>
      <c r="Q8" s="502" t="s">
        <v>705</v>
      </c>
      <c r="R8" s="496">
        <v>470.8120422363281</v>
      </c>
      <c r="S8" s="502" t="s">
        <v>705</v>
      </c>
      <c r="T8" s="496">
        <v>359.95526123046875</v>
      </c>
      <c r="U8" s="502" t="s">
        <v>705</v>
      </c>
      <c r="V8" s="496">
        <v>360.8150329589844</v>
      </c>
      <c r="W8" s="502" t="s">
        <v>705</v>
      </c>
      <c r="X8" s="496">
        <v>353.0133056640625</v>
      </c>
      <c r="Y8" s="502" t="s">
        <v>706</v>
      </c>
      <c r="Z8" s="496">
        <v>306.45623779296875</v>
      </c>
      <c r="AA8" s="502" t="s">
        <v>706</v>
      </c>
      <c r="AB8" s="496">
        <v>466.6744689941406</v>
      </c>
      <c r="AC8" s="502" t="s">
        <v>706</v>
      </c>
      <c r="AD8" s="496">
        <v>464.01312255859375</v>
      </c>
      <c r="AE8" s="502" t="s">
        <v>706</v>
      </c>
      <c r="AF8" s="496">
        <v>423.6300048828125</v>
      </c>
      <c r="AG8" s="502" t="s">
        <v>706</v>
      </c>
      <c r="AH8" s="496">
        <v>355.03387451171875</v>
      </c>
      <c r="AI8" s="502" t="s">
        <v>706</v>
      </c>
      <c r="AJ8" s="496">
        <v>352.9525146484375</v>
      </c>
      <c r="AK8" s="502" t="s">
        <v>706</v>
      </c>
      <c r="AL8" s="496">
        <v>482.620849609375</v>
      </c>
      <c r="AM8" s="502" t="s">
        <v>707</v>
      </c>
      <c r="AN8" s="496">
        <v>551.6988525390625</v>
      </c>
      <c r="AO8" s="502" t="s">
        <v>707</v>
      </c>
      <c r="AP8" s="496">
        <v>474.7380065917969</v>
      </c>
      <c r="AQ8" s="502" t="s">
        <v>707</v>
      </c>
      <c r="AR8" s="496">
        <v>477.24</v>
      </c>
      <c r="AS8" s="502" t="s">
        <v>707</v>
      </c>
      <c r="AT8" s="496">
        <v>483.06</v>
      </c>
      <c r="AU8" s="502" t="s">
        <v>707</v>
      </c>
      <c r="AV8" s="496">
        <v>541.97</v>
      </c>
      <c r="AW8" s="502" t="s">
        <v>707</v>
      </c>
      <c r="AX8" s="496">
        <v>551.48</v>
      </c>
      <c r="AY8" s="502" t="s">
        <v>707</v>
      </c>
      <c r="AZ8" s="190"/>
      <c r="BA8" s="191"/>
      <c r="BB8" s="66">
        <v>1</v>
      </c>
      <c r="BC8" s="192" t="s">
        <v>423</v>
      </c>
      <c r="BD8" s="193" t="s">
        <v>424</v>
      </c>
      <c r="BE8" s="66" t="str">
        <f>IF(OR(ISERR(AVERAGE(H8:AY8)),ISBLANK(F8)),"N/A",IF(OR(F8&lt;AVERAGE(H8:AY8)*0.75,F8&gt;AVERAGE(H8:AY8)*1.25),"&lt;&gt;Average","ok"))</f>
        <v>ok</v>
      </c>
      <c r="BF8" s="195" t="s">
        <v>428</v>
      </c>
      <c r="BG8" s="66" t="str">
        <f aca="true" t="shared" si="0" ref="BG8:BG16">IF(OR(ISBLANK(H8),ISBLANK(J8)),"N/A",IF(ABS((J8-H8)/H8)&gt;1,"&gt; 100%","ok"))</f>
        <v>ok</v>
      </c>
      <c r="BH8" s="54" t="str">
        <f>IF(OR(ISBLANK(L8),ISBLANK(J8)),"N/A",IF(ABS((L8-J8)/J8)&gt;1,"&gt; 100%","ok"))</f>
        <v>ok</v>
      </c>
      <c r="BI8" s="54" t="str">
        <f aca="true" t="shared" si="1" ref="BI8:BI16">IF(OR(ISBLANK(N8),ISBLANK(L8)),"N/A",IF(ABS((N8-L8)/L8)&gt;0.25,"&gt; 25%","ok"))</f>
        <v>ok</v>
      </c>
      <c r="BJ8" s="54" t="str">
        <f aca="true" t="shared" si="2" ref="BJ8:BJ16">IF(OR(ISBLANK(P8),ISBLANK(N8)),"N/A",IF(ABS((P8-N8)/N8)&gt;0.25,"&gt; 25%","ok"))</f>
        <v>ok</v>
      </c>
      <c r="BK8" s="54" t="str">
        <f aca="true" t="shared" si="3" ref="BK8:BK16">IF(OR(ISBLANK(R8),ISBLANK(P8)),"N/A",IF(ABS((R8-P8)/P8)&gt;0.25,"&gt; 25%","ok"))</f>
        <v>ok</v>
      </c>
      <c r="BL8" s="54" t="str">
        <f aca="true" t="shared" si="4" ref="BL8:BL16">IF(OR(ISBLANK(T8),ISBLANK(R8)),"N/A",IF(ABS((T8-R8)/R8)&gt;0.25,"&gt; 25%","ok"))</f>
        <v>ok</v>
      </c>
      <c r="BM8" s="54" t="str">
        <f aca="true" t="shared" si="5" ref="BM8:BM16">IF(OR(ISBLANK(V8),ISBLANK(T8)),"N/A",IF(ABS((V8-T8)/T8)&gt;0.25,"&gt; 25%","ok"))</f>
        <v>ok</v>
      </c>
      <c r="BN8" s="54" t="str">
        <f aca="true" t="shared" si="6" ref="BN8:BN16">IF(OR(ISBLANK(X8),ISBLANK(V8)),"N/A",IF(ABS((X8-V8)/V8)&gt;0.25,"&gt; 25%","ok"))</f>
        <v>ok</v>
      </c>
      <c r="BO8" s="54" t="str">
        <f aca="true" t="shared" si="7" ref="BO8:BO16">IF(OR(ISBLANK(Z8),ISBLANK(X8)),"N/A",IF(ABS((Z8-X8)/X8)&gt;0.25,"&gt; 25%","ok"))</f>
        <v>ok</v>
      </c>
      <c r="BP8" s="54" t="str">
        <f aca="true" t="shared" si="8" ref="BP8:BP16">IF(OR(ISBLANK(AB8),ISBLANK(Z8)),"N/A",IF(ABS((AB8-Z8)/Z8)&gt;0.25,"&gt; 25%","ok"))</f>
        <v>&gt; 25%</v>
      </c>
      <c r="BQ8" s="54" t="str">
        <f aca="true" t="shared" si="9" ref="BQ8:BQ16">IF(OR(ISBLANK(AD8),ISBLANK(AB8)),"N/A",IF(ABS((AD8-AB8)/AB8)&gt;0.25,"&gt; 25%","ok"))</f>
        <v>ok</v>
      </c>
      <c r="BR8" s="54" t="str">
        <f aca="true" t="shared" si="10" ref="BR8:BR16">IF(OR(ISBLANK(AF8),ISBLANK(AD8)),"N/A",IF(ABS((AF8-AD8)/AD8)&gt;0.25,"&gt; 25%","ok"))</f>
        <v>ok</v>
      </c>
      <c r="BS8" s="54" t="str">
        <f aca="true" t="shared" si="11" ref="BS8:BS16">IF(OR(ISBLANK(AH8),ISBLANK(AF8)),"N/A",IF(ABS((AH8-AF8)/AF8)&gt;0.25,"&gt; 25%","ok"))</f>
        <v>ok</v>
      </c>
      <c r="BT8" s="54" t="str">
        <f aca="true" t="shared" si="12" ref="BT8:BT16">IF(OR(ISBLANK(AJ8),ISBLANK(AH8)),"N/A",IF(ABS((AJ8-AH8)/AH8)&gt;0.25,"&gt; 25%","ok"))</f>
        <v>ok</v>
      </c>
      <c r="BU8" s="54" t="str">
        <f aca="true" t="shared" si="13" ref="BU8:BU16">IF(OR(ISBLANK(AL8),ISBLANK(AJ8)),"N/A",IF(ABS((AL8-AJ8)/AJ8)&gt;0.25,"&gt; 25%","ok"))</f>
        <v>&gt; 25%</v>
      </c>
      <c r="BV8" s="54" t="str">
        <f aca="true" t="shared" si="14" ref="BV8:BV16">IF(OR(ISBLANK(AN8),ISBLANK(AL8)),"N/A",IF(ABS((AN8-AL8)/AL8)&gt;0.25,"&gt; 25%","ok"))</f>
        <v>ok</v>
      </c>
      <c r="BW8" s="54" t="str">
        <f aca="true" t="shared" si="15" ref="BW8:BW16">IF(OR(ISBLANK(AP8),ISBLANK(AN8)),"N/A",IF(ABS((AP8-AN8)/AN8)&gt;0.25,"&gt; 25%","ok"))</f>
        <v>ok</v>
      </c>
      <c r="BX8" s="54" t="str">
        <f aca="true" t="shared" si="16" ref="BX8:BX16">IF(OR(ISBLANK(AR8),ISBLANK(AP8)),"N/A",IF(ABS((AR8-AP8)/AP8)&gt;0.25,"&gt; 25%","ok"))</f>
        <v>ok</v>
      </c>
      <c r="BY8" s="54" t="str">
        <f>IF(OR(ISBLANK(AT8),ISBLANK(AR8)),"N/A",IF(ABS((AT8-AR8)/AR8)&gt;0.25,"&gt; 25%","ok"))</f>
        <v>ok</v>
      </c>
      <c r="BZ8" s="54" t="str">
        <f aca="true" t="shared" si="17" ref="BZ8:BZ16">IF(OR(ISBLANK(AV8),ISBLANK(AT8)),"N/A",IF(ABS((AV8-AT8)/AT8)&gt;0.25,"&gt; 25%","ok"))</f>
        <v>ok</v>
      </c>
      <c r="CA8" s="54" t="str">
        <f aca="true" t="shared" si="18" ref="CA8:CA16">IF(OR(ISBLANK(AX8),ISBLANK(AV8)),"N/A",IF(ABS((AX8-AV8)/AV8)&gt;0.25,"&gt; 25%","ok"))</f>
        <v>ok</v>
      </c>
      <c r="CB8" s="371"/>
      <c r="CC8" s="627">
        <v>8</v>
      </c>
      <c r="CD8" s="627" t="s">
        <v>7</v>
      </c>
      <c r="CE8" s="627">
        <v>42690</v>
      </c>
      <c r="CF8" s="627">
        <v>26900</v>
      </c>
      <c r="CG8" s="627">
        <v>3300</v>
      </c>
      <c r="CH8" s="627">
        <v>30200</v>
      </c>
    </row>
    <row r="9" spans="1:86" s="196" customFormat="1" ht="20.25" customHeight="1">
      <c r="A9" s="185"/>
      <c r="B9" s="186">
        <v>7</v>
      </c>
      <c r="C9" s="197">
        <v>2</v>
      </c>
      <c r="D9" s="198" t="s">
        <v>211</v>
      </c>
      <c r="E9" s="197" t="s">
        <v>294</v>
      </c>
      <c r="F9" s="488">
        <v>180.80999755859375</v>
      </c>
      <c r="G9" s="503" t="s">
        <v>704</v>
      </c>
      <c r="H9" s="488">
        <v>187.96090698242188</v>
      </c>
      <c r="I9" s="503" t="s">
        <v>708</v>
      </c>
      <c r="J9" s="488">
        <v>182.6981201171875</v>
      </c>
      <c r="K9" s="503" t="s">
        <v>708</v>
      </c>
      <c r="L9" s="488">
        <v>191.2939910888672</v>
      </c>
      <c r="M9" s="503" t="s">
        <v>708</v>
      </c>
      <c r="N9" s="488">
        <v>185.5326385498047</v>
      </c>
      <c r="O9" s="503" t="s">
        <v>708</v>
      </c>
      <c r="P9" s="488">
        <v>190.5882568359375</v>
      </c>
      <c r="Q9" s="503" t="s">
        <v>708</v>
      </c>
      <c r="R9" s="488">
        <v>190.95301818847656</v>
      </c>
      <c r="S9" s="503" t="s">
        <v>708</v>
      </c>
      <c r="T9" s="488">
        <v>176.4890594482422</v>
      </c>
      <c r="U9" s="503" t="s">
        <v>708</v>
      </c>
      <c r="V9" s="488">
        <v>173.4222869873047</v>
      </c>
      <c r="W9" s="503" t="s">
        <v>708</v>
      </c>
      <c r="X9" s="488">
        <v>196.2562255859375</v>
      </c>
      <c r="Y9" s="503" t="s">
        <v>706</v>
      </c>
      <c r="Z9" s="488">
        <v>180.0543212890625</v>
      </c>
      <c r="AA9" s="503" t="s">
        <v>706</v>
      </c>
      <c r="AB9" s="488">
        <v>171.06002807617188</v>
      </c>
      <c r="AC9" s="503" t="s">
        <v>706</v>
      </c>
      <c r="AD9" s="488">
        <v>197.2431182861328</v>
      </c>
      <c r="AE9" s="503" t="s">
        <v>706</v>
      </c>
      <c r="AF9" s="488">
        <v>163.6045379638672</v>
      </c>
      <c r="AG9" s="503" t="s">
        <v>706</v>
      </c>
      <c r="AH9" s="488">
        <v>192.64540100097656</v>
      </c>
      <c r="AI9" s="503" t="s">
        <v>706</v>
      </c>
      <c r="AJ9" s="488">
        <v>154.4371795654297</v>
      </c>
      <c r="AK9" s="503" t="s">
        <v>706</v>
      </c>
      <c r="AL9" s="488">
        <v>169.22938537597656</v>
      </c>
      <c r="AM9" s="503" t="s">
        <v>707</v>
      </c>
      <c r="AN9" s="488">
        <v>221.32797241210938</v>
      </c>
      <c r="AO9" s="503" t="s">
        <v>707</v>
      </c>
      <c r="AP9" s="488">
        <v>223.69747924804688</v>
      </c>
      <c r="AQ9" s="503" t="s">
        <v>707</v>
      </c>
      <c r="AR9" s="488">
        <v>176.3</v>
      </c>
      <c r="AS9" s="503" t="s">
        <v>707</v>
      </c>
      <c r="AT9" s="488">
        <v>199.26</v>
      </c>
      <c r="AU9" s="503" t="s">
        <v>707</v>
      </c>
      <c r="AV9" s="488">
        <v>203</v>
      </c>
      <c r="AW9" s="503" t="s">
        <v>707</v>
      </c>
      <c r="AX9" s="488">
        <v>184.89</v>
      </c>
      <c r="AY9" s="503" t="s">
        <v>707</v>
      </c>
      <c r="AZ9" s="190"/>
      <c r="BA9" s="191"/>
      <c r="BB9" s="56">
        <v>2</v>
      </c>
      <c r="BC9" s="199" t="s">
        <v>366</v>
      </c>
      <c r="BD9" s="57" t="s">
        <v>424</v>
      </c>
      <c r="BE9" s="66" t="str">
        <f aca="true" t="shared" si="19" ref="BE9:BE16">IF(OR(ISERR(AVERAGE(H9:AY9)),ISBLANK(F9)),"N/A",IF(OR(F9&lt;AVERAGE(H9:AY9)*0.75,F9&gt;AVERAGE(H9:AY9)*1.25),"&lt;&gt;Average","ok"))</f>
        <v>ok</v>
      </c>
      <c r="BF9" s="200" t="s">
        <v>428</v>
      </c>
      <c r="BG9" s="66" t="str">
        <f t="shared" si="0"/>
        <v>ok</v>
      </c>
      <c r="BH9" s="54" t="str">
        <f aca="true" t="shared" si="20" ref="BH9:BH16">IF(OR(ISBLANK(L9),ISBLANK(J9)),"N/A",IF(ABS((L9-J9)/J9)&gt;1,"&gt; 100%","ok"))</f>
        <v>ok</v>
      </c>
      <c r="BI9" s="54" t="str">
        <f t="shared" si="1"/>
        <v>ok</v>
      </c>
      <c r="BJ9" s="54" t="str">
        <f t="shared" si="2"/>
        <v>ok</v>
      </c>
      <c r="BK9" s="54" t="str">
        <f t="shared" si="3"/>
        <v>ok</v>
      </c>
      <c r="BL9" s="54" t="str">
        <f t="shared" si="4"/>
        <v>ok</v>
      </c>
      <c r="BM9" s="54" t="str">
        <f t="shared" si="5"/>
        <v>ok</v>
      </c>
      <c r="BN9" s="54" t="str">
        <f t="shared" si="6"/>
        <v>ok</v>
      </c>
      <c r="BO9" s="54" t="str">
        <f t="shared" si="7"/>
        <v>ok</v>
      </c>
      <c r="BP9" s="54" t="str">
        <f t="shared" si="8"/>
        <v>ok</v>
      </c>
      <c r="BQ9" s="54" t="str">
        <f t="shared" si="9"/>
        <v>ok</v>
      </c>
      <c r="BR9" s="54" t="str">
        <f t="shared" si="10"/>
        <v>ok</v>
      </c>
      <c r="BS9" s="54" t="str">
        <f t="shared" si="11"/>
        <v>ok</v>
      </c>
      <c r="BT9" s="54" t="str">
        <f t="shared" si="12"/>
        <v>ok</v>
      </c>
      <c r="BU9" s="54" t="str">
        <f t="shared" si="13"/>
        <v>ok</v>
      </c>
      <c r="BV9" s="54" t="str">
        <f t="shared" si="14"/>
        <v>&gt; 25%</v>
      </c>
      <c r="BW9" s="54" t="str">
        <f t="shared" si="15"/>
        <v>ok</v>
      </c>
      <c r="BX9" s="54" t="str">
        <f t="shared" si="16"/>
        <v>ok</v>
      </c>
      <c r="BY9" s="54" t="str">
        <f aca="true" t="shared" si="21" ref="BY9:BY16">IF(OR(ISBLANK(AT9),ISBLANK(AR9)),"N/A",IF(ABS((AT9-AR9)/AR9)&gt;0.25,"&gt; 25%","ok"))</f>
        <v>ok</v>
      </c>
      <c r="BZ9" s="54" t="str">
        <f t="shared" si="17"/>
        <v>ok</v>
      </c>
      <c r="CA9" s="54" t="str">
        <f t="shared" si="18"/>
        <v>ok</v>
      </c>
      <c r="CB9" s="371"/>
      <c r="CC9" s="627">
        <v>12</v>
      </c>
      <c r="CD9" s="627" t="s">
        <v>8</v>
      </c>
      <c r="CE9" s="627">
        <v>212000</v>
      </c>
      <c r="CF9" s="627">
        <v>11250</v>
      </c>
      <c r="CG9" s="627">
        <v>390</v>
      </c>
      <c r="CH9" s="627">
        <v>11670</v>
      </c>
    </row>
    <row r="10" spans="1:87" s="203" customFormat="1" ht="20.25" customHeight="1">
      <c r="A10" s="201" t="s">
        <v>419</v>
      </c>
      <c r="B10" s="186">
        <v>5</v>
      </c>
      <c r="C10" s="187">
        <v>3</v>
      </c>
      <c r="D10" s="198" t="s">
        <v>268</v>
      </c>
      <c r="E10" s="197" t="s">
        <v>294</v>
      </c>
      <c r="F10" s="488">
        <v>240.13999938964844</v>
      </c>
      <c r="G10" s="503" t="s">
        <v>704</v>
      </c>
      <c r="H10" s="488">
        <v>283.8183898925781</v>
      </c>
      <c r="I10" s="503"/>
      <c r="J10" s="488">
        <v>242.1537628173828</v>
      </c>
      <c r="K10" s="503"/>
      <c r="L10" s="488">
        <v>298.2718200683594</v>
      </c>
      <c r="M10" s="503"/>
      <c r="N10" s="488">
        <v>241.69973754882812</v>
      </c>
      <c r="O10" s="503"/>
      <c r="P10" s="488">
        <v>327.67242431640625</v>
      </c>
      <c r="Q10" s="503"/>
      <c r="R10" s="488">
        <v>279.8590087890625</v>
      </c>
      <c r="S10" s="503"/>
      <c r="T10" s="488">
        <v>183.46620178222656</v>
      </c>
      <c r="U10" s="503"/>
      <c r="V10" s="488">
        <v>187.3927459716797</v>
      </c>
      <c r="W10" s="503"/>
      <c r="X10" s="488">
        <v>156.757080078125</v>
      </c>
      <c r="Y10" s="503"/>
      <c r="Z10" s="488">
        <v>126.40191650390625</v>
      </c>
      <c r="AA10" s="503"/>
      <c r="AB10" s="488">
        <v>295.61444091796875</v>
      </c>
      <c r="AC10" s="503"/>
      <c r="AD10" s="488">
        <v>266.77001953125</v>
      </c>
      <c r="AE10" s="503"/>
      <c r="AF10" s="488">
        <v>260.02545166015625</v>
      </c>
      <c r="AG10" s="503"/>
      <c r="AH10" s="488">
        <v>162.38845825195312</v>
      </c>
      <c r="AI10" s="503"/>
      <c r="AJ10" s="488">
        <v>198.51531982421875</v>
      </c>
      <c r="AK10" s="503"/>
      <c r="AL10" s="488">
        <v>313.3914489746094</v>
      </c>
      <c r="AM10" s="503"/>
      <c r="AN10" s="488">
        <v>330.3708801269531</v>
      </c>
      <c r="AO10" s="503"/>
      <c r="AP10" s="488">
        <v>251.04052734375</v>
      </c>
      <c r="AQ10" s="503"/>
      <c r="AR10" s="488">
        <f>AR8-AR9</f>
        <v>300.94</v>
      </c>
      <c r="AS10" s="488"/>
      <c r="AT10" s="488">
        <f>AT8-AT9</f>
        <v>283.8</v>
      </c>
      <c r="AU10" s="488"/>
      <c r="AV10" s="488">
        <f>AV8-AV9</f>
        <v>338.97</v>
      </c>
      <c r="AW10" s="488"/>
      <c r="AX10" s="488">
        <f>AX8-AX9</f>
        <v>366.59000000000003</v>
      </c>
      <c r="AY10" s="503"/>
      <c r="AZ10" s="202"/>
      <c r="BA10" s="628"/>
      <c r="BB10" s="66">
        <v>3</v>
      </c>
      <c r="BC10" s="199" t="s">
        <v>384</v>
      </c>
      <c r="BD10" s="56" t="s">
        <v>424</v>
      </c>
      <c r="BE10" s="66" t="str">
        <f t="shared" si="19"/>
        <v>ok</v>
      </c>
      <c r="BF10" s="200" t="s">
        <v>428</v>
      </c>
      <c r="BG10" s="66" t="str">
        <f t="shared" si="0"/>
        <v>ok</v>
      </c>
      <c r="BH10" s="54" t="str">
        <f t="shared" si="20"/>
        <v>ok</v>
      </c>
      <c r="BI10" s="54" t="str">
        <f t="shared" si="1"/>
        <v>ok</v>
      </c>
      <c r="BJ10" s="54" t="str">
        <f t="shared" si="2"/>
        <v>&gt; 25%</v>
      </c>
      <c r="BK10" s="54" t="str">
        <f t="shared" si="3"/>
        <v>ok</v>
      </c>
      <c r="BL10" s="54" t="str">
        <f t="shared" si="4"/>
        <v>&gt; 25%</v>
      </c>
      <c r="BM10" s="54" t="str">
        <f t="shared" si="5"/>
        <v>ok</v>
      </c>
      <c r="BN10" s="54" t="str">
        <f t="shared" si="6"/>
        <v>ok</v>
      </c>
      <c r="BO10" s="54" t="str">
        <f t="shared" si="7"/>
        <v>ok</v>
      </c>
      <c r="BP10" s="54" t="str">
        <f t="shared" si="8"/>
        <v>&gt; 25%</v>
      </c>
      <c r="BQ10" s="54" t="str">
        <f t="shared" si="9"/>
        <v>ok</v>
      </c>
      <c r="BR10" s="54" t="str">
        <f t="shared" si="10"/>
        <v>ok</v>
      </c>
      <c r="BS10" s="54" t="str">
        <f t="shared" si="11"/>
        <v>&gt; 25%</v>
      </c>
      <c r="BT10" s="54" t="str">
        <f t="shared" si="12"/>
        <v>ok</v>
      </c>
      <c r="BU10" s="54" t="str">
        <f t="shared" si="13"/>
        <v>&gt; 25%</v>
      </c>
      <c r="BV10" s="54" t="str">
        <f t="shared" si="14"/>
        <v>ok</v>
      </c>
      <c r="BW10" s="54" t="str">
        <f t="shared" si="15"/>
        <v>ok</v>
      </c>
      <c r="BX10" s="54" t="str">
        <f t="shared" si="16"/>
        <v>ok</v>
      </c>
      <c r="BY10" s="54" t="str">
        <f t="shared" si="21"/>
        <v>ok</v>
      </c>
      <c r="BZ10" s="54" t="str">
        <f t="shared" si="17"/>
        <v>ok</v>
      </c>
      <c r="CA10" s="54" t="str">
        <f t="shared" si="18"/>
        <v>ok</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214</v>
      </c>
      <c r="E11" s="197" t="s">
        <v>294</v>
      </c>
      <c r="F11" s="488">
        <v>24.309999465942383</v>
      </c>
      <c r="G11" s="503" t="s">
        <v>704</v>
      </c>
      <c r="H11" s="488">
        <v>28.73719596862793</v>
      </c>
      <c r="I11" s="503"/>
      <c r="J11" s="488">
        <v>24.51856803894043</v>
      </c>
      <c r="K11" s="503"/>
      <c r="L11" s="488">
        <v>30.20063591003418</v>
      </c>
      <c r="M11" s="503"/>
      <c r="N11" s="488">
        <v>24.472597122192383</v>
      </c>
      <c r="O11" s="503"/>
      <c r="P11" s="488">
        <v>33.17750930786133</v>
      </c>
      <c r="Q11" s="503"/>
      <c r="R11" s="488">
        <v>28.3363037109375</v>
      </c>
      <c r="S11" s="503"/>
      <c r="T11" s="488">
        <v>18.576332092285156</v>
      </c>
      <c r="U11" s="503"/>
      <c r="V11" s="488">
        <v>18.973901748657227</v>
      </c>
      <c r="W11" s="503"/>
      <c r="X11" s="488">
        <v>15.871978759765625</v>
      </c>
      <c r="Y11" s="503"/>
      <c r="Z11" s="488">
        <v>12.798455238342285</v>
      </c>
      <c r="AA11" s="503"/>
      <c r="AB11" s="488">
        <v>29.93157196044922</v>
      </c>
      <c r="AC11" s="503"/>
      <c r="AD11" s="488">
        <v>27.011014938354492</v>
      </c>
      <c r="AE11" s="503"/>
      <c r="AF11" s="488">
        <v>26.328115463256836</v>
      </c>
      <c r="AG11" s="503"/>
      <c r="AH11" s="488">
        <v>16.442167282104492</v>
      </c>
      <c r="AI11" s="503"/>
      <c r="AJ11" s="488">
        <v>20.100086212158203</v>
      </c>
      <c r="AK11" s="503" t="s">
        <v>709</v>
      </c>
      <c r="AL11" s="488">
        <v>31.731361389160156</v>
      </c>
      <c r="AM11" s="503" t="s">
        <v>709</v>
      </c>
      <c r="AN11" s="488">
        <v>33.450618743896484</v>
      </c>
      <c r="AO11" s="503" t="s">
        <v>709</v>
      </c>
      <c r="AP11" s="488">
        <v>25.418298721313477</v>
      </c>
      <c r="AQ11" s="503" t="s">
        <v>709</v>
      </c>
      <c r="AR11" s="488">
        <v>39</v>
      </c>
      <c r="AS11" s="503" t="s">
        <v>709</v>
      </c>
      <c r="AT11" s="488">
        <v>37</v>
      </c>
      <c r="AU11" s="503" t="s">
        <v>709</v>
      </c>
      <c r="AV11" s="488">
        <v>42.9</v>
      </c>
      <c r="AW11" s="503" t="s">
        <v>709</v>
      </c>
      <c r="AX11" s="488">
        <v>44.27</v>
      </c>
      <c r="AY11" s="503" t="s">
        <v>709</v>
      </c>
      <c r="AZ11" s="190"/>
      <c r="BA11" s="191"/>
      <c r="BB11" s="56">
        <v>4</v>
      </c>
      <c r="BC11" s="199" t="s">
        <v>481</v>
      </c>
      <c r="BD11" s="57" t="s">
        <v>424</v>
      </c>
      <c r="BE11" s="66" t="str">
        <f t="shared" si="19"/>
        <v>ok</v>
      </c>
      <c r="BF11" s="200" t="s">
        <v>428</v>
      </c>
      <c r="BG11" s="66" t="str">
        <f t="shared" si="0"/>
        <v>ok</v>
      </c>
      <c r="BH11" s="54" t="str">
        <f t="shared" si="20"/>
        <v>ok</v>
      </c>
      <c r="BI11" s="54" t="str">
        <f t="shared" si="1"/>
        <v>ok</v>
      </c>
      <c r="BJ11" s="54" t="str">
        <f t="shared" si="2"/>
        <v>&gt; 25%</v>
      </c>
      <c r="BK11" s="54" t="str">
        <f t="shared" si="3"/>
        <v>ok</v>
      </c>
      <c r="BL11" s="54" t="str">
        <f t="shared" si="4"/>
        <v>&gt; 25%</v>
      </c>
      <c r="BM11" s="54" t="str">
        <f t="shared" si="5"/>
        <v>ok</v>
      </c>
      <c r="BN11" s="54" t="str">
        <f t="shared" si="6"/>
        <v>ok</v>
      </c>
      <c r="BO11" s="54" t="str">
        <f t="shared" si="7"/>
        <v>ok</v>
      </c>
      <c r="BP11" s="54" t="str">
        <f t="shared" si="8"/>
        <v>&gt; 25%</v>
      </c>
      <c r="BQ11" s="54" t="str">
        <f t="shared" si="9"/>
        <v>ok</v>
      </c>
      <c r="BR11" s="54" t="str">
        <f t="shared" si="10"/>
        <v>ok</v>
      </c>
      <c r="BS11" s="54" t="str">
        <f t="shared" si="11"/>
        <v>&gt; 25%</v>
      </c>
      <c r="BT11" s="54" t="str">
        <f t="shared" si="12"/>
        <v>ok</v>
      </c>
      <c r="BU11" s="54" t="str">
        <f t="shared" si="13"/>
        <v>&gt; 25%</v>
      </c>
      <c r="BV11" s="54" t="str">
        <f t="shared" si="14"/>
        <v>ok</v>
      </c>
      <c r="BW11" s="54" t="str">
        <f t="shared" si="15"/>
        <v>ok</v>
      </c>
      <c r="BX11" s="54" t="str">
        <f t="shared" si="16"/>
        <v>&gt; 25%</v>
      </c>
      <c r="BY11" s="54" t="str">
        <f t="shared" si="21"/>
        <v>ok</v>
      </c>
      <c r="BZ11" s="54" t="str">
        <f t="shared" si="17"/>
        <v>ok</v>
      </c>
      <c r="CA11" s="54" t="str">
        <f t="shared" si="18"/>
        <v>ok</v>
      </c>
      <c r="CB11" s="371"/>
      <c r="CC11" s="627">
        <v>24</v>
      </c>
      <c r="CD11" s="627" t="s">
        <v>9</v>
      </c>
      <c r="CE11" s="627">
        <v>1259000</v>
      </c>
      <c r="CF11" s="627">
        <v>148000</v>
      </c>
      <c r="CG11" s="627">
        <v>400</v>
      </c>
      <c r="CH11" s="627">
        <v>148400</v>
      </c>
    </row>
    <row r="12" spans="1:87" s="202" customFormat="1" ht="27.75" customHeight="1">
      <c r="A12" s="201" t="s">
        <v>419</v>
      </c>
      <c r="B12" s="186">
        <v>124</v>
      </c>
      <c r="C12" s="205">
        <v>5</v>
      </c>
      <c r="D12" s="206" t="s">
        <v>267</v>
      </c>
      <c r="E12" s="207" t="s">
        <v>294</v>
      </c>
      <c r="F12" s="493">
        <v>264.45001220703125</v>
      </c>
      <c r="G12" s="504" t="s">
        <v>704</v>
      </c>
      <c r="H12" s="493">
        <v>312.5555725097656</v>
      </c>
      <c r="I12" s="504"/>
      <c r="J12" s="493">
        <v>266.6723327636719</v>
      </c>
      <c r="K12" s="504"/>
      <c r="L12" s="493">
        <v>328.4724426269531</v>
      </c>
      <c r="M12" s="504"/>
      <c r="N12" s="493">
        <v>266.1723327636719</v>
      </c>
      <c r="O12" s="504"/>
      <c r="P12" s="493">
        <v>360.8499450683594</v>
      </c>
      <c r="Q12" s="504"/>
      <c r="R12" s="493">
        <v>308.1953125</v>
      </c>
      <c r="S12" s="504"/>
      <c r="T12" s="493">
        <v>202.04254150390625</v>
      </c>
      <c r="U12" s="504"/>
      <c r="V12" s="493">
        <v>206.3666534423828</v>
      </c>
      <c r="W12" s="504"/>
      <c r="X12" s="493">
        <v>172.62905883789062</v>
      </c>
      <c r="Y12" s="504"/>
      <c r="Z12" s="493">
        <v>139.2003631591797</v>
      </c>
      <c r="AA12" s="504"/>
      <c r="AB12" s="493">
        <v>325.5460205078125</v>
      </c>
      <c r="AC12" s="504"/>
      <c r="AD12" s="493">
        <v>293.7810363769531</v>
      </c>
      <c r="AE12" s="504"/>
      <c r="AF12" s="493">
        <v>286.35357666015625</v>
      </c>
      <c r="AG12" s="504"/>
      <c r="AH12" s="493">
        <v>178.83062744140625</v>
      </c>
      <c r="AI12" s="504"/>
      <c r="AJ12" s="493">
        <v>218.6154022216797</v>
      </c>
      <c r="AK12" s="504"/>
      <c r="AL12" s="493">
        <v>345.1228332519531</v>
      </c>
      <c r="AM12" s="504"/>
      <c r="AN12" s="493">
        <v>363.8215026855469</v>
      </c>
      <c r="AO12" s="504"/>
      <c r="AP12" s="493">
        <v>276.4588317871094</v>
      </c>
      <c r="AQ12" s="504"/>
      <c r="AR12" s="493">
        <f>AR10+AR11</f>
        <v>339.94</v>
      </c>
      <c r="AS12" s="493"/>
      <c r="AT12" s="493">
        <f>AT10+AT11</f>
        <v>320.8</v>
      </c>
      <c r="AU12" s="493"/>
      <c r="AV12" s="493">
        <f>AV10+AV11</f>
        <v>381.87</v>
      </c>
      <c r="AW12" s="493"/>
      <c r="AX12" s="493">
        <f>AX10+AX11</f>
        <v>410.86</v>
      </c>
      <c r="AY12" s="504"/>
      <c r="BA12" s="628"/>
      <c r="BB12" s="66">
        <v>5</v>
      </c>
      <c r="BC12" s="208" t="s">
        <v>383</v>
      </c>
      <c r="BD12" s="57" t="s">
        <v>424</v>
      </c>
      <c r="BE12" s="66" t="str">
        <f>IF(OR(ISERR(AVERAGE(H12:AY12)),ISBLANK(F12)),"N/A",IF(OR(F12&lt;AVERAGE(H12:AY12)*0.75,F12&gt;AVERAGE(H12:AY12)*1.25),"&lt;&gt;Average","ok"))</f>
        <v>ok</v>
      </c>
      <c r="BF12" s="200" t="s">
        <v>428</v>
      </c>
      <c r="BG12" s="66" t="str">
        <f t="shared" si="0"/>
        <v>ok</v>
      </c>
      <c r="BH12" s="54" t="str">
        <f t="shared" si="20"/>
        <v>ok</v>
      </c>
      <c r="BI12" s="54" t="str">
        <f t="shared" si="1"/>
        <v>ok</v>
      </c>
      <c r="BJ12" s="54" t="str">
        <f t="shared" si="2"/>
        <v>&gt; 25%</v>
      </c>
      <c r="BK12" s="54" t="str">
        <f t="shared" si="3"/>
        <v>ok</v>
      </c>
      <c r="BL12" s="54" t="str">
        <f t="shared" si="4"/>
        <v>&gt; 25%</v>
      </c>
      <c r="BM12" s="54" t="str">
        <f t="shared" si="5"/>
        <v>ok</v>
      </c>
      <c r="BN12" s="54" t="str">
        <f t="shared" si="6"/>
        <v>ok</v>
      </c>
      <c r="BO12" s="54" t="str">
        <f t="shared" si="7"/>
        <v>ok</v>
      </c>
      <c r="BP12" s="54" t="str">
        <f t="shared" si="8"/>
        <v>&gt; 25%</v>
      </c>
      <c r="BQ12" s="54" t="str">
        <f t="shared" si="9"/>
        <v>ok</v>
      </c>
      <c r="BR12" s="54" t="str">
        <f t="shared" si="10"/>
        <v>ok</v>
      </c>
      <c r="BS12" s="54" t="str">
        <f t="shared" si="11"/>
        <v>&gt; 25%</v>
      </c>
      <c r="BT12" s="54" t="str">
        <f t="shared" si="12"/>
        <v>ok</v>
      </c>
      <c r="BU12" s="54" t="str">
        <f t="shared" si="13"/>
        <v>&gt; 25%</v>
      </c>
      <c r="BV12" s="54" t="str">
        <f t="shared" si="14"/>
        <v>ok</v>
      </c>
      <c r="BW12" s="54" t="str">
        <f t="shared" si="15"/>
        <v>ok</v>
      </c>
      <c r="BX12" s="54" t="str">
        <f t="shared" si="16"/>
        <v>ok</v>
      </c>
      <c r="BY12" s="54" t="str">
        <f t="shared" si="21"/>
        <v>ok</v>
      </c>
      <c r="BZ12" s="54" t="str">
        <f t="shared" si="17"/>
        <v>ok</v>
      </c>
      <c r="CA12" s="54" t="str">
        <f t="shared" si="18"/>
        <v>ok</v>
      </c>
      <c r="CB12" s="371"/>
      <c r="CC12" s="627">
        <v>28</v>
      </c>
      <c r="CD12" s="627" t="s">
        <v>10</v>
      </c>
      <c r="CE12" s="627">
        <v>453.2</v>
      </c>
      <c r="CF12" s="627">
        <v>52</v>
      </c>
      <c r="CG12" s="627">
        <v>0</v>
      </c>
      <c r="CH12" s="627">
        <v>52</v>
      </c>
      <c r="CI12" s="630"/>
    </row>
    <row r="13" spans="1:87" s="202" customFormat="1" ht="27.75" customHeight="1">
      <c r="A13" s="209" t="s">
        <v>419</v>
      </c>
      <c r="B13" s="186">
        <v>127</v>
      </c>
      <c r="C13" s="197">
        <v>6</v>
      </c>
      <c r="D13" s="204" t="s">
        <v>217</v>
      </c>
      <c r="E13" s="210" t="s">
        <v>294</v>
      </c>
      <c r="F13" s="488">
        <v>264.45001220703125</v>
      </c>
      <c r="G13" s="503" t="s">
        <v>704</v>
      </c>
      <c r="H13" s="488">
        <v>312.5555725097656</v>
      </c>
      <c r="I13" s="503"/>
      <c r="J13" s="488">
        <v>266.6723327636719</v>
      </c>
      <c r="K13" s="503"/>
      <c r="L13" s="488">
        <v>328.4724426269531</v>
      </c>
      <c r="M13" s="503"/>
      <c r="N13" s="488">
        <v>266.1723327636719</v>
      </c>
      <c r="O13" s="503"/>
      <c r="P13" s="488">
        <v>360.8499450683594</v>
      </c>
      <c r="Q13" s="503"/>
      <c r="R13" s="488">
        <v>308.1953125</v>
      </c>
      <c r="S13" s="503"/>
      <c r="T13" s="488">
        <v>202.04254150390625</v>
      </c>
      <c r="U13" s="503"/>
      <c r="V13" s="488">
        <v>206.3666534423828</v>
      </c>
      <c r="W13" s="503"/>
      <c r="X13" s="488">
        <v>172.62905883789062</v>
      </c>
      <c r="Y13" s="503"/>
      <c r="Z13" s="488">
        <v>139.2003631591797</v>
      </c>
      <c r="AA13" s="503"/>
      <c r="AB13" s="488">
        <v>325.5460205078125</v>
      </c>
      <c r="AC13" s="503"/>
      <c r="AD13" s="488">
        <v>293.7810363769531</v>
      </c>
      <c r="AE13" s="503"/>
      <c r="AF13" s="488">
        <v>286.35357666015625</v>
      </c>
      <c r="AG13" s="503"/>
      <c r="AH13" s="488">
        <v>178.83062744140625</v>
      </c>
      <c r="AI13" s="503"/>
      <c r="AJ13" s="488">
        <v>218.6154022216797</v>
      </c>
      <c r="AK13" s="503"/>
      <c r="AL13" s="488">
        <v>345.1228332519531</v>
      </c>
      <c r="AM13" s="503"/>
      <c r="AN13" s="488">
        <v>363.8215026855469</v>
      </c>
      <c r="AO13" s="503"/>
      <c r="AP13" s="488">
        <v>276.4588317871094</v>
      </c>
      <c r="AQ13" s="503"/>
      <c r="AR13" s="493">
        <v>341</v>
      </c>
      <c r="AS13" s="493"/>
      <c r="AT13" s="493">
        <v>321</v>
      </c>
      <c r="AU13" s="493"/>
      <c r="AV13" s="493">
        <v>381.79999999999995</v>
      </c>
      <c r="AW13" s="493"/>
      <c r="AX13" s="493">
        <v>410.53</v>
      </c>
      <c r="AY13" s="503"/>
      <c r="BA13" s="628"/>
      <c r="BB13" s="66">
        <v>6</v>
      </c>
      <c r="BC13" s="199" t="s">
        <v>359</v>
      </c>
      <c r="BD13" s="57" t="s">
        <v>424</v>
      </c>
      <c r="BE13" s="66" t="str">
        <f t="shared" si="19"/>
        <v>ok</v>
      </c>
      <c r="BF13" s="212" t="s">
        <v>428</v>
      </c>
      <c r="BG13" s="56" t="str">
        <f t="shared" si="0"/>
        <v>ok</v>
      </c>
      <c r="BH13" s="54" t="str">
        <f t="shared" si="20"/>
        <v>ok</v>
      </c>
      <c r="BI13" s="57" t="str">
        <f t="shared" si="1"/>
        <v>ok</v>
      </c>
      <c r="BJ13" s="57" t="str">
        <f t="shared" si="2"/>
        <v>&gt; 25%</v>
      </c>
      <c r="BK13" s="57" t="str">
        <f t="shared" si="3"/>
        <v>ok</v>
      </c>
      <c r="BL13" s="57" t="str">
        <f t="shared" si="4"/>
        <v>&gt; 25%</v>
      </c>
      <c r="BM13" s="57" t="str">
        <f t="shared" si="5"/>
        <v>ok</v>
      </c>
      <c r="BN13" s="54" t="str">
        <f t="shared" si="6"/>
        <v>ok</v>
      </c>
      <c r="BO13" s="54" t="str">
        <f t="shared" si="7"/>
        <v>ok</v>
      </c>
      <c r="BP13" s="54" t="str">
        <f t="shared" si="8"/>
        <v>&gt; 25%</v>
      </c>
      <c r="BQ13" s="54" t="str">
        <f t="shared" si="9"/>
        <v>ok</v>
      </c>
      <c r="BR13" s="54" t="str">
        <f t="shared" si="10"/>
        <v>ok</v>
      </c>
      <c r="BS13" s="54" t="str">
        <f t="shared" si="11"/>
        <v>&gt; 25%</v>
      </c>
      <c r="BT13" s="54" t="str">
        <f t="shared" si="12"/>
        <v>ok</v>
      </c>
      <c r="BU13" s="54" t="str">
        <f t="shared" si="13"/>
        <v>&gt; 25%</v>
      </c>
      <c r="BV13" s="54" t="str">
        <f t="shared" si="14"/>
        <v>ok</v>
      </c>
      <c r="BW13" s="54" t="str">
        <f t="shared" si="15"/>
        <v>ok</v>
      </c>
      <c r="BX13" s="54" t="str">
        <f t="shared" si="16"/>
        <v>ok</v>
      </c>
      <c r="BY13" s="54" t="str">
        <f t="shared" si="21"/>
        <v>ok</v>
      </c>
      <c r="BZ13" s="54" t="str">
        <f t="shared" si="17"/>
        <v>ok</v>
      </c>
      <c r="CA13" s="54" t="str">
        <f t="shared" si="18"/>
        <v>ok</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323</v>
      </c>
      <c r="E14" s="210" t="s">
        <v>294</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637</v>
      </c>
      <c r="BD14" s="57" t="s">
        <v>424</v>
      </c>
      <c r="BE14" s="66" t="str">
        <f t="shared" si="19"/>
        <v>N/A</v>
      </c>
      <c r="BF14" s="212" t="s">
        <v>428</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324</v>
      </c>
      <c r="E15" s="210" t="s">
        <v>294</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438</v>
      </c>
      <c r="BD15" s="57" t="s">
        <v>424</v>
      </c>
      <c r="BE15" s="66" t="str">
        <f t="shared" si="19"/>
        <v>N/A</v>
      </c>
      <c r="BF15" s="212" t="s">
        <v>428</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220</v>
      </c>
      <c r="E16" s="218" t="s">
        <v>294</v>
      </c>
      <c r="F16" s="494">
        <v>0</v>
      </c>
      <c r="G16" s="506" t="s">
        <v>704</v>
      </c>
      <c r="H16" s="494">
        <v>0</v>
      </c>
      <c r="I16" s="506"/>
      <c r="J16" s="494">
        <v>0</v>
      </c>
      <c r="K16" s="506"/>
      <c r="L16" s="494">
        <v>0</v>
      </c>
      <c r="M16" s="506"/>
      <c r="N16" s="494">
        <v>0</v>
      </c>
      <c r="O16" s="506"/>
      <c r="P16" s="494">
        <v>0</v>
      </c>
      <c r="Q16" s="506"/>
      <c r="R16" s="494">
        <v>0</v>
      </c>
      <c r="S16" s="506"/>
      <c r="T16" s="494">
        <v>0</v>
      </c>
      <c r="U16" s="506"/>
      <c r="V16" s="494">
        <v>0</v>
      </c>
      <c r="W16" s="506"/>
      <c r="X16" s="494">
        <v>0</v>
      </c>
      <c r="Y16" s="506"/>
      <c r="Z16" s="494">
        <v>0</v>
      </c>
      <c r="AA16" s="506"/>
      <c r="AB16" s="494">
        <v>0</v>
      </c>
      <c r="AC16" s="506"/>
      <c r="AD16" s="494">
        <v>0</v>
      </c>
      <c r="AE16" s="506"/>
      <c r="AF16" s="494">
        <v>0</v>
      </c>
      <c r="AG16" s="506"/>
      <c r="AH16" s="494">
        <v>0</v>
      </c>
      <c r="AI16" s="506"/>
      <c r="AJ16" s="494">
        <v>0</v>
      </c>
      <c r="AK16" s="506"/>
      <c r="AL16" s="494">
        <v>0</v>
      </c>
      <c r="AM16" s="506"/>
      <c r="AN16" s="494">
        <v>0</v>
      </c>
      <c r="AO16" s="506"/>
      <c r="AP16" s="494">
        <v>0</v>
      </c>
      <c r="AQ16" s="506"/>
      <c r="AR16" s="494"/>
      <c r="AS16" s="506"/>
      <c r="AT16" s="494"/>
      <c r="AU16" s="506"/>
      <c r="AV16" s="494"/>
      <c r="AW16" s="506"/>
      <c r="AX16" s="494"/>
      <c r="AY16" s="506"/>
      <c r="BA16" s="628"/>
      <c r="BB16" s="221">
        <v>9</v>
      </c>
      <c r="BC16" s="217" t="s">
        <v>429</v>
      </c>
      <c r="BD16" s="57" t="s">
        <v>424</v>
      </c>
      <c r="BE16" s="66" t="str">
        <f t="shared" si="19"/>
        <v>ok</v>
      </c>
      <c r="BF16" s="212" t="s">
        <v>428</v>
      </c>
      <c r="BG16" s="221" t="e">
        <f t="shared" si="0"/>
        <v>#DIV/0!</v>
      </c>
      <c r="BH16" s="54" t="e">
        <f t="shared" si="20"/>
        <v>#DIV/0!</v>
      </c>
      <c r="BI16" s="63" t="e">
        <f t="shared" si="1"/>
        <v>#DIV/0!</v>
      </c>
      <c r="BJ16" s="63" t="e">
        <f t="shared" si="2"/>
        <v>#DIV/0!</v>
      </c>
      <c r="BK16" s="63" t="e">
        <f t="shared" si="3"/>
        <v>#DIV/0!</v>
      </c>
      <c r="BL16" s="63" t="e">
        <f t="shared" si="4"/>
        <v>#DIV/0!</v>
      </c>
      <c r="BM16" s="63" t="e">
        <f t="shared" si="5"/>
        <v>#DIV/0!</v>
      </c>
      <c r="BN16" s="54" t="e">
        <f t="shared" si="6"/>
        <v>#DIV/0!</v>
      </c>
      <c r="BO16" s="54" t="e">
        <f t="shared" si="7"/>
        <v>#DIV/0!</v>
      </c>
      <c r="BP16" s="54" t="e">
        <f t="shared" si="8"/>
        <v>#DIV/0!</v>
      </c>
      <c r="BQ16" s="54" t="e">
        <f t="shared" si="9"/>
        <v>#DIV/0!</v>
      </c>
      <c r="BR16" s="54" t="e">
        <f t="shared" si="10"/>
        <v>#DIV/0!</v>
      </c>
      <c r="BS16" s="54" t="e">
        <f t="shared" si="11"/>
        <v>#DIV/0!</v>
      </c>
      <c r="BT16" s="54" t="e">
        <f t="shared" si="12"/>
        <v>#DIV/0!</v>
      </c>
      <c r="BU16" s="54" t="e">
        <f t="shared" si="13"/>
        <v>#DIV/0!</v>
      </c>
      <c r="BV16" s="54" t="e">
        <f t="shared" si="14"/>
        <v>#DIV/0!</v>
      </c>
      <c r="BW16" s="54" t="e">
        <f t="shared" si="15"/>
        <v>#DIV/0!</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512</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638</v>
      </c>
      <c r="CB19" s="371"/>
      <c r="CC19" s="627">
        <v>52</v>
      </c>
      <c r="CD19" s="627" t="s">
        <v>17</v>
      </c>
      <c r="CE19" s="627">
        <v>611.5</v>
      </c>
      <c r="CF19" s="627">
        <v>80</v>
      </c>
      <c r="CG19" s="627">
        <v>0</v>
      </c>
      <c r="CH19" s="627">
        <v>80</v>
      </c>
    </row>
    <row r="20" spans="3:86" ht="15" customHeight="1">
      <c r="C20" s="238" t="s">
        <v>440</v>
      </c>
      <c r="D20" s="809" t="s">
        <v>295</v>
      </c>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09"/>
      <c r="AX20" s="809"/>
      <c r="AY20" s="809"/>
      <c r="BB20" s="180" t="s">
        <v>510</v>
      </c>
      <c r="BC20" s="180" t="s">
        <v>511</v>
      </c>
      <c r="BD20" s="181" t="s">
        <v>513</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440</v>
      </c>
      <c r="D21" s="809" t="s">
        <v>296</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09"/>
      <c r="AY21" s="809"/>
      <c r="BB21" s="66">
        <v>3</v>
      </c>
      <c r="BC21" s="199" t="s">
        <v>384</v>
      </c>
      <c r="BD21" s="56" t="s">
        <v>596</v>
      </c>
      <c r="BE21" s="56">
        <f>F10</f>
        <v>240.13999938964844</v>
      </c>
      <c r="BF21" s="56">
        <f>H10</f>
        <v>283.8183898925781</v>
      </c>
      <c r="BG21" s="56">
        <f>J10</f>
        <v>242.1537628173828</v>
      </c>
      <c r="BH21" s="56">
        <f>L10</f>
        <v>298.2718200683594</v>
      </c>
      <c r="BI21" s="56">
        <f>N10</f>
        <v>241.69973754882812</v>
      </c>
      <c r="BJ21" s="56">
        <f>P10</f>
        <v>327.67242431640625</v>
      </c>
      <c r="BK21" s="56">
        <f>R10</f>
        <v>279.8590087890625</v>
      </c>
      <c r="BL21" s="56">
        <f>T10</f>
        <v>183.46620178222656</v>
      </c>
      <c r="BM21" s="56">
        <f>V10</f>
        <v>187.3927459716797</v>
      </c>
      <c r="BN21" s="56">
        <f>X10</f>
        <v>156.757080078125</v>
      </c>
      <c r="BO21" s="56">
        <f>Z10</f>
        <v>126.40191650390625</v>
      </c>
      <c r="BP21" s="56">
        <f>AB10</f>
        <v>295.61444091796875</v>
      </c>
      <c r="BQ21" s="56">
        <f>AD10</f>
        <v>266.77001953125</v>
      </c>
      <c r="BR21" s="56">
        <f>AF10</f>
        <v>260.02545166015625</v>
      </c>
      <c r="BS21" s="56">
        <f>AH10</f>
        <v>162.38845825195312</v>
      </c>
      <c r="BT21" s="56">
        <f>AJ10</f>
        <v>198.51531982421875</v>
      </c>
      <c r="BU21" s="56">
        <f>AL10</f>
        <v>313.3914489746094</v>
      </c>
      <c r="BV21" s="56">
        <f>AN10</f>
        <v>330.3708801269531</v>
      </c>
      <c r="BW21" s="56">
        <f>AP10</f>
        <v>251.04052734375</v>
      </c>
      <c r="BX21" s="56">
        <f>AR10</f>
        <v>300.94</v>
      </c>
      <c r="BY21" s="56">
        <f>AT10</f>
        <v>283.8</v>
      </c>
      <c r="BZ21" s="56">
        <f>AV10</f>
        <v>338.97</v>
      </c>
      <c r="CA21" s="56">
        <f>AX10</f>
        <v>366.59000000000003</v>
      </c>
      <c r="CB21" s="371"/>
      <c r="CC21" s="627">
        <v>84</v>
      </c>
      <c r="CD21" s="627" t="s">
        <v>19</v>
      </c>
      <c r="CE21" s="627">
        <v>39160</v>
      </c>
      <c r="CF21" s="627">
        <v>15260</v>
      </c>
      <c r="CG21" s="627">
        <v>6042</v>
      </c>
      <c r="CH21" s="627">
        <v>21730</v>
      </c>
    </row>
    <row r="22" spans="1:87" ht="13.5" customHeight="1">
      <c r="A22" s="240"/>
      <c r="B22" s="240"/>
      <c r="C22" s="238" t="s">
        <v>440</v>
      </c>
      <c r="D22" s="810" t="s">
        <v>179</v>
      </c>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0"/>
      <c r="AY22" s="810"/>
      <c r="AZ22" s="243"/>
      <c r="BA22" s="244"/>
      <c r="BB22" s="245">
        <v>10</v>
      </c>
      <c r="BC22" s="246" t="s">
        <v>396</v>
      </c>
      <c r="BD22" s="56" t="s">
        <v>596</v>
      </c>
      <c r="BE22" s="56">
        <f>(F8-F9)</f>
        <v>240.1400146484375</v>
      </c>
      <c r="BF22" s="56">
        <f>(H8-H9)</f>
        <v>283.8183898925781</v>
      </c>
      <c r="BG22" s="56">
        <f>(J8-J9)</f>
        <v>242.15377807617188</v>
      </c>
      <c r="BH22" s="56">
        <f>(L8-L9)</f>
        <v>298.2718048095703</v>
      </c>
      <c r="BI22" s="56">
        <f>(N8-N9)</f>
        <v>241.6997528076172</v>
      </c>
      <c r="BJ22" s="56">
        <f>(P8-P9)</f>
        <v>327.67242431640625</v>
      </c>
      <c r="BK22" s="56">
        <f>(R8-R9)</f>
        <v>279.85902404785156</v>
      </c>
      <c r="BL22" s="56">
        <f>(T8-T9)</f>
        <v>183.46620178222656</v>
      </c>
      <c r="BM22" s="56">
        <f>(V8-V9)</f>
        <v>187.3927459716797</v>
      </c>
      <c r="BN22" s="56">
        <f>(X8-X9)</f>
        <v>156.757080078125</v>
      </c>
      <c r="BO22" s="56">
        <f>(Z8-Z9)</f>
        <v>126.40191650390625</v>
      </c>
      <c r="BP22" s="56">
        <f>(AB8-AB9)</f>
        <v>295.61444091796875</v>
      </c>
      <c r="BQ22" s="56">
        <f>(AD8-AD9)</f>
        <v>266.77000427246094</v>
      </c>
      <c r="BR22" s="56">
        <f>(AF8-AF9)</f>
        <v>260.0254669189453</v>
      </c>
      <c r="BS22" s="56">
        <f>(AH8-AH9)</f>
        <v>162.3884735107422</v>
      </c>
      <c r="BT22" s="56">
        <f>(AJ8-AJ9)</f>
        <v>198.5153350830078</v>
      </c>
      <c r="BU22" s="56">
        <f>(AL8-AL9)</f>
        <v>313.39146423339844</v>
      </c>
      <c r="BV22" s="56">
        <f>(AN8-AN9)</f>
        <v>330.3708801269531</v>
      </c>
      <c r="BW22" s="56">
        <f>(AP8-AP9)</f>
        <v>251.04052734375</v>
      </c>
      <c r="BX22" s="56">
        <f>(AR8-AR9)</f>
        <v>300.94</v>
      </c>
      <c r="BY22" s="56">
        <f>(AT8-AT9)</f>
        <v>283.8</v>
      </c>
      <c r="BZ22" s="56">
        <f>(AV8-AV9)</f>
        <v>338.97</v>
      </c>
      <c r="CA22" s="56">
        <f>(AX8-AX9)</f>
        <v>366.59000000000003</v>
      </c>
      <c r="CB22" s="371"/>
      <c r="CC22" s="627">
        <v>204</v>
      </c>
      <c r="CD22" s="627" t="s">
        <v>20</v>
      </c>
      <c r="CE22" s="627">
        <v>119200</v>
      </c>
      <c r="CF22" s="627">
        <v>10300</v>
      </c>
      <c r="CG22" s="627">
        <v>0</v>
      </c>
      <c r="CH22" s="627">
        <v>26390</v>
      </c>
      <c r="CI22" s="241"/>
    </row>
    <row r="23" spans="1:87" ht="13.5" customHeight="1">
      <c r="A23" s="240"/>
      <c r="B23" s="240"/>
      <c r="C23" s="238" t="s">
        <v>440</v>
      </c>
      <c r="D23" s="809" t="s">
        <v>297</v>
      </c>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09"/>
      <c r="AY23" s="809"/>
      <c r="AZ23" s="247"/>
      <c r="BA23" s="248"/>
      <c r="BB23" s="249" t="s">
        <v>441</v>
      </c>
      <c r="BC23" s="246" t="s">
        <v>487</v>
      </c>
      <c r="BD23" s="56"/>
      <c r="BE23" s="56" t="str">
        <f>IF(OR(ISBLANK(F8),ISBLANK(F9),ISBLANK(F10)),"N/A",IF((BE21=BE22),"ok","&lt;&gt;"))</f>
        <v>&lt;&gt;</v>
      </c>
      <c r="BF23" s="56" t="str">
        <f>IF(OR(ISBLANK(H8),ISBLANK(H9),ISBLANK(H10)),"N/A",IF((BF21=BF22),"ok","&lt;&gt;"))</f>
        <v>ok</v>
      </c>
      <c r="BG23" s="56" t="str">
        <f>IF(OR(ISBLANK(P8),ISBLANK(P9),ISBLANK(P10)),"N/A",IF((BG21=BG22),"ok","&lt;&gt;"))</f>
        <v>&lt;&gt;</v>
      </c>
      <c r="BH23" s="56" t="str">
        <f>IF(OR(ISBLANK(L8),ISBLANK(L9),ISBLANK(L10)),"N/A",IF((BH21=BH22),"ok","&lt;&gt;"))</f>
        <v>&lt;&gt;</v>
      </c>
      <c r="BI23" s="56" t="str">
        <f>IF(OR(ISBLANK(N8),ISBLANK(N9),ISBLANK(N10)),"N/A",IF((BI21=BI22),"ok","&lt;&gt;"))</f>
        <v>&lt;&gt;</v>
      </c>
      <c r="BJ23" s="56" t="str">
        <f>IF(OR(ISBLANK(P8),ISBLANK(P9),ISBLANK(P10)),"N/A",IF((BJ21=BJ22),"ok","&lt;&gt;"))</f>
        <v>ok</v>
      </c>
      <c r="BK23" s="56" t="str">
        <f>IF(OR(ISBLANK(R8),ISBLANK(R9),ISBLANK(R10)),"N/A",IF((BK21=BK22),"ok","&lt;&gt;"))</f>
        <v>&lt;&gt;</v>
      </c>
      <c r="BL23" s="56" t="str">
        <f>IF(OR(ISBLANK(T8),ISBLANK(T9),ISBLANK(T10)),"N/A",IF((BL21=BL22),"ok","&lt;&gt;"))</f>
        <v>ok</v>
      </c>
      <c r="BM23" s="56" t="str">
        <f>IF(OR(ISBLANK(V8),ISBLANK(V9),ISBLANK(V10)),"N/A",IF((BM21=BM22),"ok","&lt;&gt;"))</f>
        <v>ok</v>
      </c>
      <c r="BN23" s="56" t="str">
        <f>IF(OR(ISBLANK(X8),ISBLANK(X9),ISBLANK(X10)),"N/A",IF((BN21=BN22),"ok","&lt;&gt;"))</f>
        <v>ok</v>
      </c>
      <c r="BO23" s="56" t="str">
        <f>IF(OR(ISBLANK(Z8),ISBLANK(Z9),ISBLANK(Z10)),"N/A",IF((BO21=BO22),"ok","&lt;&gt;"))</f>
        <v>ok</v>
      </c>
      <c r="BP23" s="56" t="str">
        <f>IF(OR(ISBLANK(AB8),ISBLANK(AB9),ISBLANK(AB10)),"N/A",IF((BP21=BP22),"ok","&lt;&gt;"))</f>
        <v>ok</v>
      </c>
      <c r="BQ23" s="56" t="str">
        <f>IF(OR(ISBLANK(AD8),ISBLANK(AD9),ISBLANK(AD10)),"N/A",IF((BQ21=BQ22),"ok","&lt;&gt;"))</f>
        <v>&lt;&gt;</v>
      </c>
      <c r="BR23" s="56" t="str">
        <f>IF(OR(ISBLANK(AF8),ISBLANK(AF9),ISBLANK(AF10)),"N/A",IF((BR21=BR22),"ok","&lt;&gt;"))</f>
        <v>&lt;&gt;</v>
      </c>
      <c r="BS23" s="56" t="str">
        <f>IF(OR(ISBLANK(AH8),ISBLANK(AH9),ISBLANK(AH10)),"N/A",IF((BS21=BS22),"ok","&lt;&gt;"))</f>
        <v>&lt;&gt;</v>
      </c>
      <c r="BT23" s="56" t="str">
        <f>IF(OR(ISBLANK(AJ8),ISBLANK(AJ9),ISBLANK(AJ10)),"N/A",IF((BT21=BT22),"ok","&lt;&gt;"))</f>
        <v>&lt;&gt;</v>
      </c>
      <c r="BU23" s="56" t="str">
        <f>IF(OR(ISBLANK(AL8),ISBLANK(AL9),ISBLANK(AL10)),"N/A",IF((BU21=BU22),"ok","&lt;&gt;"))</f>
        <v>&lt;&gt;</v>
      </c>
      <c r="BV23" s="56" t="str">
        <f>IF(OR(ISBLANK(AN8),ISBLANK(AN9),ISBLANK(AN10)),"N/A",IF((BV21=BV22),"ok","&lt;&gt;"))</f>
        <v>ok</v>
      </c>
      <c r="BW23" s="56" t="str">
        <f>IF(OR(ISBLANK(AP8),ISBLANK(AP9),ISBLANK(AP10)),"N/A",IF((BW21=BW22),"ok","&lt;&gt;"))</f>
        <v>ok</v>
      </c>
      <c r="BX23" s="56" t="str">
        <f>IF(OR(ISBLANK(AR8),ISBLANK(AR9),ISBLANK(AR10)),"N/A",IF((BX21=BX22),"ok","&lt;&gt;"))</f>
        <v>ok</v>
      </c>
      <c r="BY23" s="56" t="str">
        <f>IF(OR(ISBLANK(AT8),ISBLANK(AT9),ISBLANK(AT10)),"N/A",IF((BY21=BY22),"ok","&lt;&gt;"))</f>
        <v>ok</v>
      </c>
      <c r="BZ23" s="56" t="str">
        <f>IF(OR(ISBLANK(AV8),ISBLANK(AV9),ISBLANK(AV10)),"N/A",IF((BZ21=BZ22),"ok","&lt;&gt;"))</f>
        <v>ok</v>
      </c>
      <c r="CA23" s="56" t="str">
        <f>IF(OR(ISBLANK(AX8),ISBLANK(AX9),ISBLANK(AX10)),"N/A",IF((CA21=CA22),"ok","&lt;&gt;"))</f>
        <v>ok</v>
      </c>
      <c r="CB23" s="371"/>
      <c r="CC23" s="627">
        <v>60</v>
      </c>
      <c r="CD23" s="627" t="s">
        <v>21</v>
      </c>
      <c r="CE23" s="627"/>
      <c r="CF23" s="627"/>
      <c r="CG23" s="627"/>
      <c r="CH23" s="627"/>
      <c r="CI23" s="241"/>
    </row>
    <row r="24" spans="1:87" ht="9" customHeight="1">
      <c r="A24" s="240"/>
      <c r="B24" s="240"/>
      <c r="C24" s="238"/>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43"/>
      <c r="BA24" s="244"/>
      <c r="BB24" s="66">
        <v>5</v>
      </c>
      <c r="BC24" s="208" t="s">
        <v>383</v>
      </c>
      <c r="BD24" s="56" t="s">
        <v>596</v>
      </c>
      <c r="BE24" s="56">
        <f>F12</f>
        <v>264.45001220703125</v>
      </c>
      <c r="BF24" s="56">
        <f>H12</f>
        <v>312.5555725097656</v>
      </c>
      <c r="BG24" s="56">
        <f>P12</f>
        <v>360.8499450683594</v>
      </c>
      <c r="BH24" s="56">
        <f>L12</f>
        <v>328.4724426269531</v>
      </c>
      <c r="BI24" s="56">
        <f>N12</f>
        <v>266.1723327636719</v>
      </c>
      <c r="BJ24" s="56">
        <f>P12</f>
        <v>360.8499450683594</v>
      </c>
      <c r="BK24" s="56">
        <f>R12</f>
        <v>308.1953125</v>
      </c>
      <c r="BL24" s="56">
        <f>T12</f>
        <v>202.04254150390625</v>
      </c>
      <c r="BM24" s="56">
        <f>V12</f>
        <v>206.3666534423828</v>
      </c>
      <c r="BN24" s="56">
        <f>X12</f>
        <v>172.62905883789062</v>
      </c>
      <c r="BO24" s="56">
        <f>Z12</f>
        <v>139.2003631591797</v>
      </c>
      <c r="BP24" s="56">
        <f>AB12</f>
        <v>325.5460205078125</v>
      </c>
      <c r="BQ24" s="56">
        <f>AD12</f>
        <v>293.7810363769531</v>
      </c>
      <c r="BR24" s="56">
        <f>AF12</f>
        <v>286.35357666015625</v>
      </c>
      <c r="BS24" s="56">
        <f>AH12</f>
        <v>178.83062744140625</v>
      </c>
      <c r="BT24" s="56">
        <f>AJ12</f>
        <v>218.6154022216797</v>
      </c>
      <c r="BU24" s="56">
        <f>AL12</f>
        <v>345.1228332519531</v>
      </c>
      <c r="BV24" s="56">
        <f>AN12</f>
        <v>363.8215026855469</v>
      </c>
      <c r="BW24" s="56">
        <f>AP12</f>
        <v>276.4588317871094</v>
      </c>
      <c r="BX24" s="56">
        <f>AR12</f>
        <v>339.94</v>
      </c>
      <c r="BY24" s="56">
        <f>AT12</f>
        <v>320.8</v>
      </c>
      <c r="BZ24" s="56">
        <f>AV12</f>
        <v>381.87</v>
      </c>
      <c r="CA24" s="56">
        <f>AX12</f>
        <v>410.86</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397</v>
      </c>
      <c r="BD25" s="56" t="s">
        <v>596</v>
      </c>
      <c r="BE25" s="56">
        <f>F10+F11</f>
        <v>264.4499988555908</v>
      </c>
      <c r="BF25" s="56">
        <f>H10+H11</f>
        <v>312.55558586120605</v>
      </c>
      <c r="BG25" s="56">
        <f>P10+P11</f>
        <v>360.8499336242676</v>
      </c>
      <c r="BH25" s="56">
        <f>L10+L11</f>
        <v>328.47245597839355</v>
      </c>
      <c r="BI25" s="56">
        <f>N10+N11</f>
        <v>266.1723346710205</v>
      </c>
      <c r="BJ25" s="56">
        <f>P10+P11</f>
        <v>360.8499336242676</v>
      </c>
      <c r="BK25" s="56">
        <f>R10+R11</f>
        <v>308.1953125</v>
      </c>
      <c r="BL25" s="56">
        <f>T10+T11</f>
        <v>202.04253387451172</v>
      </c>
      <c r="BM25" s="56">
        <f>V10+V11</f>
        <v>206.3666477203369</v>
      </c>
      <c r="BN25" s="56">
        <f>X10+X11</f>
        <v>172.62905883789062</v>
      </c>
      <c r="BO25" s="56">
        <f>Z10+Z11</f>
        <v>139.20037174224854</v>
      </c>
      <c r="BP25" s="56">
        <f>AB10+AB11</f>
        <v>325.54601287841797</v>
      </c>
      <c r="BQ25" s="56">
        <f>AD10+AD11</f>
        <v>293.7810344696045</v>
      </c>
      <c r="BR25" s="56">
        <f>AF10+AF11</f>
        <v>286.3535671234131</v>
      </c>
      <c r="BS25" s="56">
        <f>AH10+AH11</f>
        <v>178.83062553405762</v>
      </c>
      <c r="BT25" s="56">
        <f>AJ10+AJ11</f>
        <v>218.61540603637695</v>
      </c>
      <c r="BU25" s="56">
        <f>AL10+AL11</f>
        <v>345.12281036376953</v>
      </c>
      <c r="BV25" s="56">
        <f>AN10+AN11</f>
        <v>363.8214988708496</v>
      </c>
      <c r="BW25" s="56">
        <f>AP10+AP11</f>
        <v>276.4588260650635</v>
      </c>
      <c r="BX25" s="56">
        <f>AR10+AR11</f>
        <v>339.94</v>
      </c>
      <c r="BY25" s="56">
        <f>AT10+AT11</f>
        <v>320.8</v>
      </c>
      <c r="BZ25" s="56">
        <f>AV10+AV11</f>
        <v>381.87</v>
      </c>
      <c r="CA25" s="56">
        <f>AX10+AX11</f>
        <v>410.86</v>
      </c>
      <c r="CB25" s="371"/>
      <c r="CC25" s="627">
        <v>68</v>
      </c>
      <c r="CD25" s="627" t="s">
        <v>135</v>
      </c>
      <c r="CE25" s="627">
        <v>1259000</v>
      </c>
      <c r="CF25" s="627">
        <v>303500</v>
      </c>
      <c r="CG25" s="627">
        <v>259000</v>
      </c>
      <c r="CH25" s="627">
        <v>574000</v>
      </c>
      <c r="CI25" s="241"/>
    </row>
    <row r="26" spans="1:87" ht="22.5" customHeight="1">
      <c r="A26" s="240"/>
      <c r="B26" s="240"/>
      <c r="F26" s="800" t="str">
        <f>D8&amp;" (W1, 1)"</f>
        <v>Précipitations (W1, 1)</v>
      </c>
      <c r="G26" s="801"/>
      <c r="H26" s="801"/>
      <c r="I26" s="819"/>
      <c r="J26" s="253"/>
      <c r="K26" s="253"/>
      <c r="L26" s="253"/>
      <c r="M26" s="800" t="str">
        <f>D9&amp;"
(W1, 2)"</f>
        <v>Évapotranspiration réelle
(W1, 2)</v>
      </c>
      <c r="N26" s="820"/>
      <c r="O26" s="820"/>
      <c r="P26" s="820"/>
      <c r="Q26" s="821"/>
      <c r="R26" s="253"/>
      <c r="S26" s="253"/>
      <c r="T26" s="253"/>
      <c r="U26" s="253"/>
      <c r="V26" s="253"/>
      <c r="W26" s="253"/>
      <c r="X26" s="253"/>
      <c r="Y26" s="253"/>
      <c r="Z26" s="253"/>
      <c r="AA26" s="252"/>
      <c r="AB26" s="792"/>
      <c r="AC26" s="792"/>
      <c r="AD26" s="792"/>
      <c r="AE26" s="792"/>
      <c r="AF26" s="254"/>
      <c r="AG26" s="254"/>
      <c r="AH26" s="254"/>
      <c r="AI26" s="254"/>
      <c r="AJ26" s="792"/>
      <c r="AK26" s="813"/>
      <c r="AL26" s="813"/>
      <c r="AM26" s="813"/>
      <c r="AN26" s="813"/>
      <c r="AO26" s="250"/>
      <c r="AP26" s="250"/>
      <c r="AQ26" s="250"/>
      <c r="AR26" s="250"/>
      <c r="AS26" s="250"/>
      <c r="AT26" s="250"/>
      <c r="AU26" s="250"/>
      <c r="AV26" s="250"/>
      <c r="AW26" s="250"/>
      <c r="AX26" s="250"/>
      <c r="AY26" s="250"/>
      <c r="AZ26" s="243"/>
      <c r="BA26" s="244"/>
      <c r="BB26" s="249" t="s">
        <v>441</v>
      </c>
      <c r="BC26" s="246" t="s">
        <v>488</v>
      </c>
      <c r="BD26" s="56"/>
      <c r="BE26" s="56" t="str">
        <f>IF(OR(ISBLANK(F10),ISBLANK(F11)),"N/A",IF((BE24=BE25),"ok","&lt;&gt;"))</f>
        <v>&lt;&gt;</v>
      </c>
      <c r="BF26" s="56" t="str">
        <f>IF(OR(ISBLANK(H10),ISBLANK(H11)),"N/A",IF((BF24=BF25),"ok","&lt;&gt;"))</f>
        <v>&lt;&gt;</v>
      </c>
      <c r="BG26" s="56" t="str">
        <f>IF(OR(ISBLANK(P10),ISBLANK(P11)),"N/A",IF((BG24=BG25),"ok","&lt;&gt;"))</f>
        <v>&lt;&gt;</v>
      </c>
      <c r="BH26" s="56" t="str">
        <f>IF(OR(ISBLANK(L10),ISBLANK(L11)),"N/A",IF((BH24=BH25),"ok","&lt;&gt;"))</f>
        <v>&lt;&gt;</v>
      </c>
      <c r="BI26" s="56" t="str">
        <f>IF(OR(ISBLANK(N10),ISBLANK(N11)),"N/A",IF((BI24=BI25),"ok","&lt;&gt;"))</f>
        <v>&lt;&gt;</v>
      </c>
      <c r="BJ26" s="56" t="str">
        <f>IF(OR(ISBLANK(P10),ISBLANK(P11)),"N/A",IF((BJ24=BJ25),"ok","&lt;&gt;"))</f>
        <v>&lt;&gt;</v>
      </c>
      <c r="BK26" s="56" t="str">
        <f>IF(OR(ISBLANK(R10),ISBLANK(R11)),"N/A",IF((BK24=BK25),"ok","&lt;&gt;"))</f>
        <v>ok</v>
      </c>
      <c r="BL26" s="56" t="str">
        <f>IF(OR(ISBLANK(T10),ISBLANK(T11)),"N/A",IF((BL24=BL25),"ok","&lt;&gt;"))</f>
        <v>&lt;&gt;</v>
      </c>
      <c r="BM26" s="56" t="str">
        <f>IF(OR(ISBLANK(V10),ISBLANK(V11)),"N/A",IF((BM24=BM25),"ok","&lt;&gt;"))</f>
        <v>&lt;&gt;</v>
      </c>
      <c r="BN26" s="56" t="str">
        <f>IF(OR(ISBLANK(X10),ISBLANK(X11)),"N/A",IF((BN24=BN25),"ok","&lt;&gt;"))</f>
        <v>ok</v>
      </c>
      <c r="BO26" s="56" t="str">
        <f>IF(OR(ISBLANK(Z10),ISBLANK(Z11)),"N/A",IF((BO24=BO25),"ok","&lt;&gt;"))</f>
        <v>&lt;&gt;</v>
      </c>
      <c r="BP26" s="56" t="str">
        <f>IF(OR(ISBLANK(AB10),ISBLANK(AB11)),"N/A",IF((BP24=BP25),"ok","&lt;&gt;"))</f>
        <v>&lt;&gt;</v>
      </c>
      <c r="BQ26" s="56" t="str">
        <f>IF(OR(ISBLANK(AD10),ISBLANK(AD11)),"N/A",IF((BQ24=BQ25),"ok","&lt;&gt;"))</f>
        <v>&lt;&gt;</v>
      </c>
      <c r="BR26" s="56" t="str">
        <f>IF(OR(ISBLANK(AF10),ISBLANK(AF11)),"N/A",IF((BR24=BR25),"ok","&lt;&gt;"))</f>
        <v>&lt;&gt;</v>
      </c>
      <c r="BS26" s="56" t="str">
        <f>IF(OR(ISBLANK(AH10),ISBLANK(AH11)),"N/A",IF((BS24=BS25),"ok","&lt;&gt;"))</f>
        <v>&lt;&gt;</v>
      </c>
      <c r="BT26" s="56" t="str">
        <f>IF(OR(ISBLANK(AJ10),ISBLANK(AJ11)),"N/A",IF((BT24=BT25),"ok","&lt;&gt;"))</f>
        <v>&lt;&gt;</v>
      </c>
      <c r="BU26" s="56" t="str">
        <f>IF(OR(ISBLANK(AL10),ISBLANK(AL11)),"N/A",IF((BU24=BU25),"ok","&lt;&gt;"))</f>
        <v>&lt;&gt;</v>
      </c>
      <c r="BV26" s="56" t="str">
        <f>IF(OR(ISBLANK(AN10),ISBLANK(AN11)),"N/A",IF((BV24=BV25),"ok","&lt;&gt;"))</f>
        <v>&lt;&gt;</v>
      </c>
      <c r="BW26" s="56" t="str">
        <f>IF(OR(ISBLANK(AP10),ISBLANK(AP11)),"N/A",IF((BW24=BW25),"ok","&lt;&gt;"))</f>
        <v>&lt;&gt;</v>
      </c>
      <c r="BX26" s="56" t="str">
        <f>IF(OR(ISBLANK(AR10),ISBLANK(AR11)),"N/A",IF((BX24=BX25),"ok","&lt;&gt;"))</f>
        <v>ok</v>
      </c>
      <c r="BY26" s="56" t="str">
        <f>IF(OR(ISBLANK(AT10),ISBLANK(AT11)),"N/A",IF((BY24=BY25),"ok","&lt;&gt;"))</f>
        <v>ok</v>
      </c>
      <c r="BZ26" s="56" t="str">
        <f>IF(OR(ISBLANK(AV10),ISBLANK(AV11)),"N/A",IF((BZ24=BZ25),"ok","&lt;&gt;"))</f>
        <v>ok</v>
      </c>
      <c r="CA26" s="56" t="str">
        <f>IF(OR(ISBLANK(AX10),ISBLANK(AX11)),"N/A",IF((CA24=CA25),"ok","&lt;&gt;"))</f>
        <v>ok</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639</v>
      </c>
      <c r="BD27" s="66" t="s">
        <v>596</v>
      </c>
      <c r="BE27" s="56">
        <f>F8</f>
        <v>420.95001220703125</v>
      </c>
      <c r="BF27" s="57" t="s">
        <v>428</v>
      </c>
      <c r="BG27" s="56" t="s">
        <v>428</v>
      </c>
      <c r="BH27" s="56" t="s">
        <v>428</v>
      </c>
      <c r="BI27" s="56" t="s">
        <v>428</v>
      </c>
      <c r="BJ27" s="56" t="s">
        <v>428</v>
      </c>
      <c r="BK27" s="56" t="s">
        <v>428</v>
      </c>
      <c r="BL27" s="56" t="s">
        <v>428</v>
      </c>
      <c r="BM27" s="56" t="s">
        <v>428</v>
      </c>
      <c r="BN27" s="56" t="s">
        <v>428</v>
      </c>
      <c r="BO27" s="56" t="s">
        <v>428</v>
      </c>
      <c r="BP27" s="56" t="s">
        <v>428</v>
      </c>
      <c r="BQ27" s="56" t="s">
        <v>428</v>
      </c>
      <c r="BR27" s="56" t="s">
        <v>428</v>
      </c>
      <c r="BS27" s="56" t="s">
        <v>428</v>
      </c>
      <c r="BT27" s="56" t="s">
        <v>428</v>
      </c>
      <c r="BU27" s="56" t="s">
        <v>428</v>
      </c>
      <c r="BV27" s="56" t="s">
        <v>428</v>
      </c>
      <c r="BW27" s="56" t="s">
        <v>428</v>
      </c>
      <c r="BX27" s="56" t="s">
        <v>428</v>
      </c>
      <c r="BY27" s="56" t="s">
        <v>428</v>
      </c>
      <c r="BZ27" s="56" t="s">
        <v>428</v>
      </c>
      <c r="CA27" s="56" t="s">
        <v>428</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800" t="str">
        <f>LEFT(D10,LEN(D10)-7)&amp;" (W1, 3)"</f>
        <v>Flux interne  (W1, 3)</v>
      </c>
      <c r="I28" s="801"/>
      <c r="J28" s="801"/>
      <c r="K28" s="801"/>
      <c r="L28" s="802"/>
      <c r="M28" s="802"/>
      <c r="N28" s="802"/>
      <c r="O28" s="803"/>
      <c r="P28" s="252"/>
      <c r="Q28" s="252"/>
      <c r="R28" s="252"/>
      <c r="S28" s="252"/>
      <c r="T28" s="252"/>
      <c r="U28" s="252"/>
      <c r="V28" s="252"/>
      <c r="W28" s="252"/>
      <c r="X28" s="252"/>
      <c r="Y28" s="252"/>
      <c r="Z28" s="252"/>
      <c r="AA28" s="252"/>
      <c r="AB28" s="251"/>
      <c r="AC28" s="254"/>
      <c r="AD28" s="792"/>
      <c r="AE28" s="813"/>
      <c r="AF28" s="813"/>
      <c r="AG28" s="813"/>
      <c r="AH28" s="813"/>
      <c r="AI28" s="813"/>
      <c r="AJ28" s="813"/>
      <c r="AK28" s="813"/>
      <c r="AL28" s="813"/>
      <c r="AM28" s="254"/>
      <c r="AN28" s="254"/>
      <c r="AO28" s="250"/>
      <c r="AP28" s="250"/>
      <c r="AQ28" s="250"/>
      <c r="AR28" s="250"/>
      <c r="AS28" s="250"/>
      <c r="AZ28" s="243"/>
      <c r="BA28" s="244"/>
      <c r="BB28" s="245">
        <v>12</v>
      </c>
      <c r="BC28" s="246" t="s">
        <v>405</v>
      </c>
      <c r="BD28" s="56" t="s">
        <v>596</v>
      </c>
      <c r="BE28" s="56">
        <f>VLOOKUP(B3,CC7:CH183,3,FALSE)</f>
        <v>472.4</v>
      </c>
      <c r="BF28" s="56" t="s">
        <v>428</v>
      </c>
      <c r="BG28" s="56" t="s">
        <v>428</v>
      </c>
      <c r="BH28" s="56" t="s">
        <v>428</v>
      </c>
      <c r="BI28" s="56" t="s">
        <v>428</v>
      </c>
      <c r="BJ28" s="56" t="s">
        <v>428</v>
      </c>
      <c r="BK28" s="56" t="s">
        <v>428</v>
      </c>
      <c r="BL28" s="56" t="s">
        <v>428</v>
      </c>
      <c r="BM28" s="56" t="s">
        <v>428</v>
      </c>
      <c r="BN28" s="56" t="s">
        <v>428</v>
      </c>
      <c r="BO28" s="56" t="s">
        <v>428</v>
      </c>
      <c r="BP28" s="56" t="s">
        <v>428</v>
      </c>
      <c r="BQ28" s="56" t="s">
        <v>428</v>
      </c>
      <c r="BR28" s="56" t="s">
        <v>428</v>
      </c>
      <c r="BS28" s="56" t="s">
        <v>428</v>
      </c>
      <c r="BT28" s="56" t="s">
        <v>428</v>
      </c>
      <c r="BU28" s="56" t="s">
        <v>428</v>
      </c>
      <c r="BV28" s="56" t="s">
        <v>428</v>
      </c>
      <c r="BW28" s="56" t="s">
        <v>428</v>
      </c>
      <c r="BX28" s="56" t="s">
        <v>428</v>
      </c>
      <c r="BY28" s="56" t="s">
        <v>428</v>
      </c>
      <c r="BZ28" s="56" t="s">
        <v>428</v>
      </c>
      <c r="CA28" s="56" t="s">
        <v>428</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800" t="str">
        <f>D13&amp;" (W1, 6)"</f>
        <v>Flux sortant d’eaux de surface et d’eaux souterraines vers les pays voisins (W1, 6)</v>
      </c>
      <c r="X29" s="801"/>
      <c r="Y29" s="801"/>
      <c r="Z29" s="801"/>
      <c r="AA29" s="801"/>
      <c r="AB29" s="801"/>
      <c r="AC29" s="801"/>
      <c r="AD29" s="819"/>
      <c r="AE29" s="254"/>
      <c r="AF29" s="254"/>
      <c r="AG29" s="254"/>
      <c r="AH29" s="254"/>
      <c r="AI29" s="254"/>
      <c r="AJ29" s="254"/>
      <c r="AK29" s="254"/>
      <c r="AL29" s="254"/>
      <c r="AM29" s="254"/>
      <c r="AN29" s="254"/>
      <c r="AO29" s="250"/>
      <c r="AP29" s="250"/>
      <c r="AQ29" s="250"/>
      <c r="AR29" s="250"/>
      <c r="AS29" s="250"/>
      <c r="AT29" s="792"/>
      <c r="AU29" s="792"/>
      <c r="AV29" s="792"/>
      <c r="AW29" s="792"/>
      <c r="AX29" s="792"/>
      <c r="AY29" s="792"/>
      <c r="AZ29" s="243"/>
      <c r="BA29" s="244"/>
      <c r="BB29" s="249" t="s">
        <v>441</v>
      </c>
      <c r="BC29" s="257" t="s">
        <v>489</v>
      </c>
      <c r="BD29" s="56" t="s">
        <v>596</v>
      </c>
      <c r="BE29" s="56">
        <f>ABS(BE27-BE28)</f>
        <v>51.44998779296873</v>
      </c>
      <c r="BF29" s="57" t="s">
        <v>428</v>
      </c>
      <c r="BG29" s="56" t="s">
        <v>428</v>
      </c>
      <c r="BH29" s="56" t="s">
        <v>428</v>
      </c>
      <c r="BI29" s="56" t="s">
        <v>428</v>
      </c>
      <c r="BJ29" s="56" t="s">
        <v>428</v>
      </c>
      <c r="BK29" s="56" t="s">
        <v>428</v>
      </c>
      <c r="BL29" s="56" t="s">
        <v>428</v>
      </c>
      <c r="BM29" s="56" t="s">
        <v>428</v>
      </c>
      <c r="BN29" s="56" t="s">
        <v>428</v>
      </c>
      <c r="BO29" s="56" t="s">
        <v>428</v>
      </c>
      <c r="BP29" s="56" t="s">
        <v>428</v>
      </c>
      <c r="BQ29" s="56" t="s">
        <v>428</v>
      </c>
      <c r="BR29" s="56" t="s">
        <v>428</v>
      </c>
      <c r="BS29" s="56" t="s">
        <v>428</v>
      </c>
      <c r="BT29" s="56" t="s">
        <v>428</v>
      </c>
      <c r="BU29" s="56" t="s">
        <v>428</v>
      </c>
      <c r="BV29" s="56" t="s">
        <v>428</v>
      </c>
      <c r="BW29" s="56" t="s">
        <v>428</v>
      </c>
      <c r="BX29" s="56" t="s">
        <v>428</v>
      </c>
      <c r="BY29" s="56" t="s">
        <v>428</v>
      </c>
      <c r="BZ29" s="56" t="s">
        <v>428</v>
      </c>
      <c r="CA29" s="56" t="s">
        <v>428</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800" t="str">
        <f>D11&amp;" (W1, 4)"</f>
        <v>Apport externe d’eaux de surface et d’eaux souterraines des pays voisins (W1, 4)</v>
      </c>
      <c r="G30" s="801"/>
      <c r="H30" s="801"/>
      <c r="I30" s="819"/>
      <c r="J30" s="253"/>
      <c r="K30" s="253"/>
      <c r="L30" s="253"/>
      <c r="M30" s="253"/>
      <c r="N30" s="800" t="str">
        <f>LEFT(D12,LEN(D12)-7)&amp;" (W1, 5)"</f>
        <v>Ressources renouvelables en eau douce (W1, 5)</v>
      </c>
      <c r="O30" s="801"/>
      <c r="P30" s="801"/>
      <c r="Q30" s="819"/>
      <c r="R30" s="253"/>
      <c r="S30" s="253"/>
      <c r="T30" s="253"/>
      <c r="U30" s="253"/>
      <c r="V30" s="253"/>
      <c r="W30" s="253"/>
      <c r="X30" s="253"/>
      <c r="Y30" s="253"/>
      <c r="Z30" s="253"/>
      <c r="AA30" s="253"/>
      <c r="AB30" s="792"/>
      <c r="AC30" s="814"/>
      <c r="AD30" s="814"/>
      <c r="AE30" s="814"/>
      <c r="AF30" s="254"/>
      <c r="AG30" s="254"/>
      <c r="AH30" s="254"/>
      <c r="AI30" s="254"/>
      <c r="AJ30" s="254"/>
      <c r="AK30" s="792"/>
      <c r="AL30" s="793"/>
      <c r="AM30" s="793"/>
      <c r="AN30" s="793"/>
      <c r="AO30" s="250"/>
      <c r="AP30" s="250"/>
      <c r="AQ30" s="250"/>
      <c r="AR30" s="250"/>
      <c r="AS30" s="250"/>
      <c r="AT30" s="251"/>
      <c r="AU30" s="251"/>
      <c r="AV30" s="251"/>
      <c r="AW30" s="251"/>
      <c r="AX30" s="251"/>
      <c r="AY30" s="251"/>
      <c r="AZ30" s="243"/>
      <c r="BA30" s="244"/>
      <c r="BB30" s="56">
        <v>3</v>
      </c>
      <c r="BC30" s="199" t="s">
        <v>384</v>
      </c>
      <c r="BD30" s="56" t="s">
        <v>596</v>
      </c>
      <c r="BE30" s="56">
        <f>F10</f>
        <v>240.13999938964844</v>
      </c>
      <c r="BF30" s="57" t="s">
        <v>428</v>
      </c>
      <c r="BG30" s="56" t="s">
        <v>428</v>
      </c>
      <c r="BH30" s="56" t="s">
        <v>428</v>
      </c>
      <c r="BI30" s="56" t="s">
        <v>428</v>
      </c>
      <c r="BJ30" s="56" t="s">
        <v>428</v>
      </c>
      <c r="BK30" s="56" t="s">
        <v>428</v>
      </c>
      <c r="BL30" s="56" t="s">
        <v>428</v>
      </c>
      <c r="BM30" s="56" t="s">
        <v>428</v>
      </c>
      <c r="BN30" s="56" t="s">
        <v>428</v>
      </c>
      <c r="BO30" s="56" t="s">
        <v>428</v>
      </c>
      <c r="BP30" s="56" t="s">
        <v>428</v>
      </c>
      <c r="BQ30" s="56" t="s">
        <v>428</v>
      </c>
      <c r="BR30" s="56" t="s">
        <v>428</v>
      </c>
      <c r="BS30" s="56" t="s">
        <v>428</v>
      </c>
      <c r="BT30" s="56" t="s">
        <v>428</v>
      </c>
      <c r="BU30" s="56" t="s">
        <v>428</v>
      </c>
      <c r="BV30" s="56" t="s">
        <v>428</v>
      </c>
      <c r="BW30" s="56" t="s">
        <v>428</v>
      </c>
      <c r="BX30" s="56" t="s">
        <v>428</v>
      </c>
      <c r="BY30" s="56" t="s">
        <v>428</v>
      </c>
      <c r="BZ30" s="56" t="s">
        <v>428</v>
      </c>
      <c r="CA30" s="56" t="s">
        <v>428</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800" t="str">
        <f>D16&amp;" (W1, 9)"</f>
        <v>Flux sortant d’eaux de surface et d’eaux souterraines vers la mer (W1, 9)</v>
      </c>
      <c r="X31" s="801"/>
      <c r="Y31" s="801"/>
      <c r="Z31" s="801"/>
      <c r="AA31" s="802"/>
      <c r="AB31" s="802"/>
      <c r="AC31" s="802"/>
      <c r="AD31" s="803"/>
      <c r="AE31" s="531"/>
      <c r="AF31" s="260"/>
      <c r="AG31" s="261"/>
      <c r="AH31" s="252"/>
      <c r="AI31" s="252"/>
      <c r="AJ31" s="252"/>
      <c r="AK31" s="811"/>
      <c r="AL31" s="812"/>
      <c r="AM31" s="812"/>
      <c r="AN31" s="812"/>
      <c r="AO31" s="262"/>
      <c r="AP31" s="262"/>
      <c r="AQ31" s="228"/>
      <c r="AR31" s="228"/>
      <c r="AS31" s="228"/>
      <c r="AT31" s="792"/>
      <c r="AU31" s="792"/>
      <c r="AV31" s="792"/>
      <c r="AW31" s="792"/>
      <c r="AX31" s="792"/>
      <c r="AY31" s="792"/>
      <c r="AZ31" s="243"/>
      <c r="BA31" s="244"/>
      <c r="BB31" s="263">
        <v>13</v>
      </c>
      <c r="BC31" s="246" t="s">
        <v>406</v>
      </c>
      <c r="BD31" s="56" t="s">
        <v>596</v>
      </c>
      <c r="BE31" s="56">
        <f>VLOOKUP(B3,CC7:CH183,4,FALSE)</f>
        <v>315.59999999999997</v>
      </c>
      <c r="BF31" s="57" t="s">
        <v>428</v>
      </c>
      <c r="BG31" s="56" t="s">
        <v>428</v>
      </c>
      <c r="BH31" s="56" t="s">
        <v>428</v>
      </c>
      <c r="BI31" s="56" t="s">
        <v>428</v>
      </c>
      <c r="BJ31" s="56" t="s">
        <v>428</v>
      </c>
      <c r="BK31" s="56" t="s">
        <v>428</v>
      </c>
      <c r="BL31" s="56" t="s">
        <v>428</v>
      </c>
      <c r="BM31" s="56" t="s">
        <v>428</v>
      </c>
      <c r="BN31" s="56" t="s">
        <v>428</v>
      </c>
      <c r="BO31" s="56" t="s">
        <v>428</v>
      </c>
      <c r="BP31" s="56" t="s">
        <v>428</v>
      </c>
      <c r="BQ31" s="56" t="s">
        <v>428</v>
      </c>
      <c r="BR31" s="56" t="s">
        <v>428</v>
      </c>
      <c r="BS31" s="56" t="s">
        <v>428</v>
      </c>
      <c r="BT31" s="56" t="s">
        <v>428</v>
      </c>
      <c r="BU31" s="56" t="s">
        <v>428</v>
      </c>
      <c r="BV31" s="56" t="s">
        <v>428</v>
      </c>
      <c r="BW31" s="56" t="s">
        <v>428</v>
      </c>
      <c r="BX31" s="56" t="s">
        <v>428</v>
      </c>
      <c r="BY31" s="56" t="s">
        <v>428</v>
      </c>
      <c r="BZ31" s="56" t="s">
        <v>428</v>
      </c>
      <c r="CA31" s="56" t="s">
        <v>428</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441</v>
      </c>
      <c r="BC32" s="246" t="s">
        <v>490</v>
      </c>
      <c r="BD32" s="56" t="s">
        <v>596</v>
      </c>
      <c r="BE32" s="56">
        <f>ABS(BE30-BE31)</f>
        <v>75.46000061035153</v>
      </c>
      <c r="BF32" s="56" t="s">
        <v>428</v>
      </c>
      <c r="BG32" s="56" t="s">
        <v>428</v>
      </c>
      <c r="BH32" s="56" t="s">
        <v>428</v>
      </c>
      <c r="BI32" s="56" t="s">
        <v>428</v>
      </c>
      <c r="BJ32" s="56" t="s">
        <v>428</v>
      </c>
      <c r="BK32" s="56" t="s">
        <v>428</v>
      </c>
      <c r="BL32" s="56" t="s">
        <v>428</v>
      </c>
      <c r="BM32" s="56" t="s">
        <v>428</v>
      </c>
      <c r="BN32" s="56" t="s">
        <v>428</v>
      </c>
      <c r="BO32" s="56" t="s">
        <v>428</v>
      </c>
      <c r="BP32" s="56" t="s">
        <v>428</v>
      </c>
      <c r="BQ32" s="56" t="s">
        <v>428</v>
      </c>
      <c r="BR32" s="56" t="s">
        <v>428</v>
      </c>
      <c r="BS32" s="56" t="s">
        <v>428</v>
      </c>
      <c r="BT32" s="56" t="s">
        <v>428</v>
      </c>
      <c r="BU32" s="56" t="s">
        <v>428</v>
      </c>
      <c r="BV32" s="56" t="s">
        <v>428</v>
      </c>
      <c r="BW32" s="56" t="s">
        <v>428</v>
      </c>
      <c r="BX32" s="56" t="s">
        <v>428</v>
      </c>
      <c r="BY32" s="56" t="s">
        <v>428</v>
      </c>
      <c r="BZ32" s="56" t="s">
        <v>428</v>
      </c>
      <c r="CA32" s="56" t="s">
        <v>428</v>
      </c>
      <c r="CB32" s="371"/>
      <c r="CC32" s="627">
        <v>108</v>
      </c>
      <c r="CD32" s="627" t="s">
        <v>29</v>
      </c>
      <c r="CE32" s="627">
        <v>35460</v>
      </c>
      <c r="CF32" s="627">
        <v>10060</v>
      </c>
      <c r="CG32" s="627">
        <v>126</v>
      </c>
      <c r="CH32" s="627">
        <v>12540</v>
      </c>
      <c r="CI32" s="258"/>
    </row>
    <row r="33" spans="2:87" ht="15.75" customHeight="1">
      <c r="B33" s="137">
        <v>2</v>
      </c>
      <c r="C33" s="796" t="s">
        <v>298</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797"/>
      <c r="BB33" s="56">
        <v>4</v>
      </c>
      <c r="BC33" s="199" t="s">
        <v>386</v>
      </c>
      <c r="BD33" s="56" t="s">
        <v>596</v>
      </c>
      <c r="BE33" s="56">
        <f>F11</f>
        <v>24.309999465942383</v>
      </c>
      <c r="BF33" s="56" t="s">
        <v>428</v>
      </c>
      <c r="BG33" s="56" t="s">
        <v>428</v>
      </c>
      <c r="BH33" s="56" t="s">
        <v>428</v>
      </c>
      <c r="BI33" s="56" t="s">
        <v>428</v>
      </c>
      <c r="BJ33" s="56" t="s">
        <v>428</v>
      </c>
      <c r="BK33" s="56" t="s">
        <v>428</v>
      </c>
      <c r="BL33" s="56" t="s">
        <v>428</v>
      </c>
      <c r="BM33" s="56" t="s">
        <v>428</v>
      </c>
      <c r="BN33" s="56" t="s">
        <v>428</v>
      </c>
      <c r="BO33" s="56" t="s">
        <v>428</v>
      </c>
      <c r="BP33" s="56" t="s">
        <v>428</v>
      </c>
      <c r="BQ33" s="56" t="s">
        <v>428</v>
      </c>
      <c r="BR33" s="56" t="s">
        <v>428</v>
      </c>
      <c r="BS33" s="56" t="s">
        <v>428</v>
      </c>
      <c r="BT33" s="56" t="s">
        <v>428</v>
      </c>
      <c r="BU33" s="56" t="s">
        <v>428</v>
      </c>
      <c r="BV33" s="56" t="s">
        <v>428</v>
      </c>
      <c r="BW33" s="56" t="s">
        <v>428</v>
      </c>
      <c r="BX33" s="56" t="s">
        <v>428</v>
      </c>
      <c r="BY33" s="56" t="s">
        <v>428</v>
      </c>
      <c r="BZ33" s="56" t="s">
        <v>428</v>
      </c>
      <c r="CA33" s="56" t="s">
        <v>428</v>
      </c>
      <c r="CB33" s="371"/>
      <c r="CC33" s="627">
        <v>132</v>
      </c>
      <c r="CD33" s="627" t="s">
        <v>523</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408</v>
      </c>
      <c r="BD34" s="56" t="s">
        <v>596</v>
      </c>
      <c r="BE34" s="56">
        <f>VLOOKUP(B3,CC7:CH183,5,FALSE)</f>
        <v>0</v>
      </c>
      <c r="BF34" s="56" t="s">
        <v>428</v>
      </c>
      <c r="BG34" s="56" t="s">
        <v>428</v>
      </c>
      <c r="BH34" s="56" t="s">
        <v>428</v>
      </c>
      <c r="BI34" s="56" t="s">
        <v>428</v>
      </c>
      <c r="BJ34" s="56" t="s">
        <v>428</v>
      </c>
      <c r="BK34" s="56" t="s">
        <v>428</v>
      </c>
      <c r="BL34" s="56" t="s">
        <v>428</v>
      </c>
      <c r="BM34" s="56" t="s">
        <v>428</v>
      </c>
      <c r="BN34" s="56" t="s">
        <v>428</v>
      </c>
      <c r="BO34" s="56" t="s">
        <v>428</v>
      </c>
      <c r="BP34" s="56" t="s">
        <v>428</v>
      </c>
      <c r="BQ34" s="56" t="s">
        <v>428</v>
      </c>
      <c r="BR34" s="56" t="s">
        <v>428</v>
      </c>
      <c r="BS34" s="56" t="s">
        <v>428</v>
      </c>
      <c r="BT34" s="56" t="s">
        <v>428</v>
      </c>
      <c r="BU34" s="56" t="s">
        <v>428</v>
      </c>
      <c r="BV34" s="56" t="s">
        <v>428</v>
      </c>
      <c r="BW34" s="56" t="s">
        <v>428</v>
      </c>
      <c r="BX34" s="56" t="s">
        <v>428</v>
      </c>
      <c r="BY34" s="56" t="s">
        <v>428</v>
      </c>
      <c r="BZ34" s="56" t="s">
        <v>428</v>
      </c>
      <c r="CA34" s="56" t="s">
        <v>428</v>
      </c>
      <c r="CB34" s="371"/>
      <c r="CC34" s="627">
        <v>116</v>
      </c>
      <c r="CD34" s="627" t="s">
        <v>30</v>
      </c>
      <c r="CE34" s="627">
        <v>344700</v>
      </c>
      <c r="CF34" s="627">
        <v>120600</v>
      </c>
      <c r="CG34" s="627">
        <v>355500</v>
      </c>
      <c r="CH34" s="627">
        <v>476100</v>
      </c>
    </row>
    <row r="35" spans="3:86" ht="18" customHeight="1">
      <c r="C35" s="272" t="s">
        <v>515</v>
      </c>
      <c r="D35" s="798" t="s">
        <v>299</v>
      </c>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BB35" s="249" t="s">
        <v>441</v>
      </c>
      <c r="BC35" s="246" t="s">
        <v>491</v>
      </c>
      <c r="BD35" s="56" t="s">
        <v>596</v>
      </c>
      <c r="BE35" s="56">
        <f>ABS(BE33-BE34)</f>
        <v>24.309999465942383</v>
      </c>
      <c r="BF35" s="56" t="s">
        <v>428</v>
      </c>
      <c r="BG35" s="56" t="s">
        <v>428</v>
      </c>
      <c r="BH35" s="56" t="s">
        <v>428</v>
      </c>
      <c r="BI35" s="56" t="s">
        <v>428</v>
      </c>
      <c r="BJ35" s="56" t="s">
        <v>428</v>
      </c>
      <c r="BK35" s="56" t="s">
        <v>428</v>
      </c>
      <c r="BL35" s="56" t="s">
        <v>428</v>
      </c>
      <c r="BM35" s="56" t="s">
        <v>428</v>
      </c>
      <c r="BN35" s="56" t="s">
        <v>428</v>
      </c>
      <c r="BO35" s="56" t="s">
        <v>428</v>
      </c>
      <c r="BP35" s="56" t="s">
        <v>428</v>
      </c>
      <c r="BQ35" s="56" t="s">
        <v>428</v>
      </c>
      <c r="BR35" s="56" t="s">
        <v>428</v>
      </c>
      <c r="BS35" s="56" t="s">
        <v>428</v>
      </c>
      <c r="BT35" s="56" t="s">
        <v>428</v>
      </c>
      <c r="BU35" s="56" t="s">
        <v>428</v>
      </c>
      <c r="BV35" s="56" t="s">
        <v>428</v>
      </c>
      <c r="BW35" s="56" t="s">
        <v>428</v>
      </c>
      <c r="BX35" s="56" t="s">
        <v>428</v>
      </c>
      <c r="BY35" s="56" t="s">
        <v>428</v>
      </c>
      <c r="BZ35" s="56" t="s">
        <v>428</v>
      </c>
      <c r="CA35" s="56" t="s">
        <v>428</v>
      </c>
      <c r="CB35" s="371"/>
      <c r="CC35" s="627">
        <v>120</v>
      </c>
      <c r="CD35" s="627" t="s">
        <v>31</v>
      </c>
      <c r="CE35" s="627">
        <v>762600</v>
      </c>
      <c r="CF35" s="627">
        <v>273000</v>
      </c>
      <c r="CG35" s="627">
        <v>4000</v>
      </c>
      <c r="CH35" s="627">
        <v>283100</v>
      </c>
    </row>
    <row r="36" spans="1:86" ht="18" customHeight="1">
      <c r="A36" s="136">
        <v>0</v>
      </c>
      <c r="B36" s="137">
        <v>5330</v>
      </c>
      <c r="C36" s="490" t="s">
        <v>704</v>
      </c>
      <c r="D36" s="794" t="s">
        <v>710</v>
      </c>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5"/>
      <c r="AY36" s="795"/>
      <c r="BB36" s="66">
        <v>5</v>
      </c>
      <c r="BC36" s="208" t="s">
        <v>383</v>
      </c>
      <c r="BD36" s="56" t="s">
        <v>596</v>
      </c>
      <c r="BE36" s="56">
        <f>F12</f>
        <v>264.45001220703125</v>
      </c>
      <c r="BF36" s="56" t="s">
        <v>428</v>
      </c>
      <c r="BG36" s="56" t="s">
        <v>428</v>
      </c>
      <c r="BH36" s="56" t="s">
        <v>428</v>
      </c>
      <c r="BI36" s="56" t="s">
        <v>428</v>
      </c>
      <c r="BJ36" s="56" t="s">
        <v>428</v>
      </c>
      <c r="BK36" s="56" t="s">
        <v>428</v>
      </c>
      <c r="BL36" s="56" t="s">
        <v>428</v>
      </c>
      <c r="BM36" s="56" t="s">
        <v>428</v>
      </c>
      <c r="BN36" s="56" t="s">
        <v>428</v>
      </c>
      <c r="BO36" s="56" t="s">
        <v>428</v>
      </c>
      <c r="BP36" s="56" t="s">
        <v>428</v>
      </c>
      <c r="BQ36" s="56" t="s">
        <v>428</v>
      </c>
      <c r="BR36" s="56" t="s">
        <v>428</v>
      </c>
      <c r="BS36" s="56" t="s">
        <v>428</v>
      </c>
      <c r="BT36" s="56" t="s">
        <v>428</v>
      </c>
      <c r="BU36" s="56" t="s">
        <v>428</v>
      </c>
      <c r="BV36" s="56" t="s">
        <v>428</v>
      </c>
      <c r="BW36" s="56" t="s">
        <v>428</v>
      </c>
      <c r="BX36" s="56" t="s">
        <v>428</v>
      </c>
      <c r="BY36" s="56" t="s">
        <v>428</v>
      </c>
      <c r="BZ36" s="56" t="s">
        <v>428</v>
      </c>
      <c r="CA36" s="56" t="s">
        <v>428</v>
      </c>
      <c r="CB36" s="371"/>
      <c r="CC36" s="627">
        <v>140</v>
      </c>
      <c r="CD36" s="627" t="s">
        <v>32</v>
      </c>
      <c r="CE36" s="627">
        <v>836700</v>
      </c>
      <c r="CF36" s="627">
        <v>141000</v>
      </c>
      <c r="CG36" s="627">
        <v>0</v>
      </c>
      <c r="CH36" s="627">
        <v>141000</v>
      </c>
    </row>
    <row r="37" spans="1:86" ht="25.5" customHeight="1">
      <c r="A37" s="136">
        <v>0</v>
      </c>
      <c r="B37" s="137">
        <v>5328</v>
      </c>
      <c r="C37" s="490" t="s">
        <v>705</v>
      </c>
      <c r="D37" s="790" t="s">
        <v>711</v>
      </c>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1"/>
      <c r="AY37" s="791"/>
      <c r="BB37" s="245">
        <v>15</v>
      </c>
      <c r="BC37" s="246" t="s">
        <v>407</v>
      </c>
      <c r="BD37" s="56" t="s">
        <v>596</v>
      </c>
      <c r="BE37" s="56">
        <f>VLOOKUP(B3,CC7:CH183,6,FALSE)</f>
        <v>315.59999999999997</v>
      </c>
      <c r="BF37" s="56" t="s">
        <v>428</v>
      </c>
      <c r="BG37" s="56" t="s">
        <v>428</v>
      </c>
      <c r="BH37" s="56" t="s">
        <v>428</v>
      </c>
      <c r="BI37" s="56" t="s">
        <v>428</v>
      </c>
      <c r="BJ37" s="56" t="s">
        <v>428</v>
      </c>
      <c r="BK37" s="56" t="s">
        <v>428</v>
      </c>
      <c r="BL37" s="56" t="s">
        <v>428</v>
      </c>
      <c r="BM37" s="56" t="s">
        <v>428</v>
      </c>
      <c r="BN37" s="56" t="s">
        <v>428</v>
      </c>
      <c r="BO37" s="56" t="s">
        <v>428</v>
      </c>
      <c r="BP37" s="56" t="s">
        <v>428</v>
      </c>
      <c r="BQ37" s="56" t="s">
        <v>428</v>
      </c>
      <c r="BR37" s="56" t="s">
        <v>428</v>
      </c>
      <c r="BS37" s="56" t="s">
        <v>428</v>
      </c>
      <c r="BT37" s="56" t="s">
        <v>428</v>
      </c>
      <c r="BU37" s="56" t="s">
        <v>428</v>
      </c>
      <c r="BV37" s="56" t="s">
        <v>428</v>
      </c>
      <c r="BW37" s="56" t="s">
        <v>428</v>
      </c>
      <c r="BX37" s="56" t="s">
        <v>428</v>
      </c>
      <c r="BY37" s="56" t="s">
        <v>428</v>
      </c>
      <c r="BZ37" s="56" t="s">
        <v>428</v>
      </c>
      <c r="CA37" s="56" t="s">
        <v>428</v>
      </c>
      <c r="CB37" s="371"/>
      <c r="CC37" s="627">
        <v>148</v>
      </c>
      <c r="CD37" s="627" t="s">
        <v>33</v>
      </c>
      <c r="CE37" s="627">
        <v>413400</v>
      </c>
      <c r="CF37" s="627">
        <v>15000</v>
      </c>
      <c r="CG37" s="627">
        <v>30700</v>
      </c>
      <c r="CH37" s="627">
        <v>45700</v>
      </c>
    </row>
    <row r="38" spans="1:86" ht="18" customHeight="1">
      <c r="A38" s="136">
        <v>1</v>
      </c>
      <c r="B38" s="137">
        <v>5544</v>
      </c>
      <c r="C38" s="490" t="s">
        <v>706</v>
      </c>
      <c r="D38" s="790" t="s">
        <v>712</v>
      </c>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BB38" s="273" t="s">
        <v>441</v>
      </c>
      <c r="BC38" s="274" t="s">
        <v>492</v>
      </c>
      <c r="BD38" s="64" t="s">
        <v>596</v>
      </c>
      <c r="BE38" s="64">
        <f>ABS(BE36-BE37)</f>
        <v>51.149987792968716</v>
      </c>
      <c r="BF38" s="64" t="s">
        <v>428</v>
      </c>
      <c r="BG38" s="64" t="s">
        <v>428</v>
      </c>
      <c r="BH38" s="64" t="s">
        <v>428</v>
      </c>
      <c r="BI38" s="64" t="s">
        <v>428</v>
      </c>
      <c r="BJ38" s="64" t="s">
        <v>428</v>
      </c>
      <c r="BK38" s="64" t="s">
        <v>428</v>
      </c>
      <c r="BL38" s="64" t="s">
        <v>428</v>
      </c>
      <c r="BM38" s="64" t="s">
        <v>428</v>
      </c>
      <c r="BN38" s="64" t="s">
        <v>428</v>
      </c>
      <c r="BO38" s="64" t="s">
        <v>428</v>
      </c>
      <c r="BP38" s="64" t="s">
        <v>428</v>
      </c>
      <c r="BQ38" s="64" t="s">
        <v>428</v>
      </c>
      <c r="BR38" s="64" t="s">
        <v>428</v>
      </c>
      <c r="BS38" s="64" t="s">
        <v>428</v>
      </c>
      <c r="BT38" s="64" t="s">
        <v>428</v>
      </c>
      <c r="BU38" s="64" t="s">
        <v>428</v>
      </c>
      <c r="BV38" s="64" t="s">
        <v>428</v>
      </c>
      <c r="BW38" s="64" t="s">
        <v>428</v>
      </c>
      <c r="BX38" s="64" t="s">
        <v>428</v>
      </c>
      <c r="BY38" s="64" t="s">
        <v>428</v>
      </c>
      <c r="BZ38" s="64" t="s">
        <v>428</v>
      </c>
      <c r="CA38" s="64" t="s">
        <v>428</v>
      </c>
      <c r="CB38" s="371"/>
      <c r="CC38" s="627">
        <v>156</v>
      </c>
      <c r="CD38" s="627" t="s">
        <v>34</v>
      </c>
      <c r="CE38" s="627">
        <v>6192000</v>
      </c>
      <c r="CF38" s="627">
        <v>2813000</v>
      </c>
      <c r="CG38" s="627">
        <v>17170</v>
      </c>
      <c r="CH38" s="627">
        <v>2840000</v>
      </c>
    </row>
    <row r="39" spans="1:86" ht="18" customHeight="1">
      <c r="A39" s="136">
        <v>1</v>
      </c>
      <c r="B39" s="137">
        <v>5545</v>
      </c>
      <c r="C39" s="490" t="s">
        <v>707</v>
      </c>
      <c r="D39" s="790" t="s">
        <v>713</v>
      </c>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BB39" s="275" t="s">
        <v>409</v>
      </c>
      <c r="BC39" s="276" t="s">
        <v>410</v>
      </c>
      <c r="CB39" s="371"/>
      <c r="CC39" s="627">
        <v>344</v>
      </c>
      <c r="CD39" s="627" t="s">
        <v>35</v>
      </c>
      <c r="CE39" s="627"/>
      <c r="CF39" s="627"/>
      <c r="CG39" s="627"/>
      <c r="CH39" s="627"/>
    </row>
    <row r="40" spans="1:86" ht="26.25" customHeight="1">
      <c r="A40" s="136">
        <v>1</v>
      </c>
      <c r="B40" s="137">
        <v>5331</v>
      </c>
      <c r="C40" s="490" t="s">
        <v>708</v>
      </c>
      <c r="D40" s="790" t="s">
        <v>714</v>
      </c>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BB40" s="275" t="s">
        <v>411</v>
      </c>
      <c r="BC40" s="276" t="s">
        <v>412</v>
      </c>
      <c r="CC40" s="627">
        <v>446</v>
      </c>
      <c r="CD40" s="627" t="s">
        <v>36</v>
      </c>
      <c r="CE40" s="627"/>
      <c r="CF40" s="627"/>
      <c r="CG40" s="627"/>
      <c r="CH40" s="627"/>
    </row>
    <row r="41" spans="1:86" ht="18" customHeight="1">
      <c r="A41" s="136">
        <v>1</v>
      </c>
      <c r="B41" s="137">
        <v>5546</v>
      </c>
      <c r="C41" s="490" t="s">
        <v>709</v>
      </c>
      <c r="D41" s="790" t="s">
        <v>715</v>
      </c>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BB41" s="277" t="s">
        <v>414</v>
      </c>
      <c r="BC41" s="276" t="s">
        <v>416</v>
      </c>
      <c r="BD41" s="278"/>
      <c r="CC41" s="627">
        <v>170</v>
      </c>
      <c r="CD41" s="627" t="s">
        <v>37</v>
      </c>
      <c r="CE41" s="627">
        <v>3699000</v>
      </c>
      <c r="CF41" s="627">
        <v>2145000</v>
      </c>
      <c r="CG41" s="627">
        <v>215000</v>
      </c>
      <c r="CH41" s="627">
        <v>2360000</v>
      </c>
    </row>
    <row r="42" spans="3:86" ht="18" customHeight="1">
      <c r="C42" s="49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Y42" s="791"/>
      <c r="BB42" s="277" t="s">
        <v>413</v>
      </c>
      <c r="BC42" s="276" t="s">
        <v>378</v>
      </c>
      <c r="BD42" s="278"/>
      <c r="CC42" s="627">
        <v>174</v>
      </c>
      <c r="CD42" s="627" t="s">
        <v>38</v>
      </c>
      <c r="CE42" s="627">
        <v>1675</v>
      </c>
      <c r="CF42" s="627">
        <v>1200</v>
      </c>
      <c r="CG42" s="627">
        <v>0</v>
      </c>
      <c r="CH42" s="627">
        <v>1200</v>
      </c>
    </row>
    <row r="43" spans="3:86" ht="18" customHeight="1">
      <c r="C43" s="490"/>
      <c r="D43" s="790"/>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Y43" s="791"/>
      <c r="BB43" s="275" t="s">
        <v>415</v>
      </c>
      <c r="BC43" s="276" t="s">
        <v>417</v>
      </c>
      <c r="BD43" s="278"/>
      <c r="CC43" s="627">
        <v>178</v>
      </c>
      <c r="CD43" s="627" t="s">
        <v>39</v>
      </c>
      <c r="CE43" s="627">
        <v>562900</v>
      </c>
      <c r="CF43" s="627">
        <v>222000</v>
      </c>
      <c r="CG43" s="627">
        <v>52000</v>
      </c>
      <c r="CH43" s="627">
        <v>832000</v>
      </c>
    </row>
    <row r="44" spans="3:86" ht="18" customHeight="1">
      <c r="C44" s="490"/>
      <c r="D44" s="790"/>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Y44" s="791"/>
      <c r="BD44" s="278"/>
      <c r="CC44" s="627">
        <v>188</v>
      </c>
      <c r="CD44" s="627" t="s">
        <v>40</v>
      </c>
      <c r="CE44" s="627">
        <v>149500</v>
      </c>
      <c r="CF44" s="627">
        <v>113000</v>
      </c>
      <c r="CG44" s="627">
        <v>0</v>
      </c>
      <c r="CH44" s="627">
        <v>113000</v>
      </c>
    </row>
    <row r="45" spans="3:86" ht="18" customHeight="1">
      <c r="C45" s="490"/>
      <c r="D45" s="790"/>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CC45" s="627">
        <v>384</v>
      </c>
      <c r="CD45" s="627" t="s">
        <v>136</v>
      </c>
      <c r="CE45" s="627">
        <v>434700</v>
      </c>
      <c r="CF45" s="627">
        <v>76840</v>
      </c>
      <c r="CG45" s="627">
        <v>4300</v>
      </c>
      <c r="CH45" s="627">
        <v>84140</v>
      </c>
    </row>
    <row r="46" spans="3:86" ht="18" customHeight="1">
      <c r="C46" s="490"/>
      <c r="D46" s="790"/>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1"/>
      <c r="AY46" s="791"/>
      <c r="BD46" s="278"/>
      <c r="CC46" s="627">
        <v>191</v>
      </c>
      <c r="CD46" s="627" t="s">
        <v>41</v>
      </c>
      <c r="CE46" s="627">
        <v>62980</v>
      </c>
      <c r="CF46" s="627">
        <v>37700</v>
      </c>
      <c r="CG46" s="627">
        <v>33470</v>
      </c>
      <c r="CH46" s="627">
        <v>105500</v>
      </c>
    </row>
    <row r="47" spans="3:86" ht="18" customHeight="1">
      <c r="C47" s="490"/>
      <c r="D47" s="790"/>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1"/>
      <c r="BB47" s="278"/>
      <c r="BC47" s="278"/>
      <c r="BD47" s="278"/>
      <c r="CC47" s="627">
        <v>192</v>
      </c>
      <c r="CD47" s="627" t="s">
        <v>42</v>
      </c>
      <c r="CE47" s="627">
        <v>146700</v>
      </c>
      <c r="CF47" s="627">
        <v>38120</v>
      </c>
      <c r="CG47" s="627">
        <v>0</v>
      </c>
      <c r="CH47" s="627">
        <v>38120</v>
      </c>
    </row>
    <row r="48" spans="3:86" ht="18" customHeight="1">
      <c r="C48" s="490"/>
      <c r="D48" s="790"/>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CC48" s="627">
        <v>196</v>
      </c>
      <c r="CD48" s="627" t="s">
        <v>43</v>
      </c>
      <c r="CE48" s="627">
        <v>4606</v>
      </c>
      <c r="CF48" s="627">
        <v>780</v>
      </c>
      <c r="CG48" s="627">
        <v>0</v>
      </c>
      <c r="CH48" s="627">
        <v>780</v>
      </c>
    </row>
    <row r="49" spans="3:86" ht="18" customHeight="1">
      <c r="C49" s="490"/>
      <c r="D49" s="790"/>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1"/>
      <c r="AY49" s="791"/>
      <c r="CC49" s="627">
        <v>408</v>
      </c>
      <c r="CD49" s="627" t="s">
        <v>137</v>
      </c>
      <c r="CE49" s="627">
        <v>127000</v>
      </c>
      <c r="CF49" s="627">
        <v>67000</v>
      </c>
      <c r="CG49" s="627">
        <v>0</v>
      </c>
      <c r="CH49" s="627">
        <v>77150</v>
      </c>
    </row>
    <row r="50" spans="3:86" ht="18" customHeight="1">
      <c r="C50" s="490"/>
      <c r="D50" s="790"/>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1"/>
      <c r="AY50" s="791"/>
      <c r="CC50" s="627">
        <v>180</v>
      </c>
      <c r="CD50" s="627" t="s">
        <v>138</v>
      </c>
      <c r="CE50" s="627">
        <v>3618000</v>
      </c>
      <c r="CF50" s="627">
        <v>900000</v>
      </c>
      <c r="CG50" s="627">
        <v>383000</v>
      </c>
      <c r="CH50" s="627">
        <v>1283000</v>
      </c>
    </row>
    <row r="51" spans="3:86" ht="18" customHeight="1">
      <c r="C51" s="490"/>
      <c r="D51" s="790"/>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1"/>
      <c r="AY51" s="791"/>
      <c r="CC51" s="627">
        <v>262</v>
      </c>
      <c r="CD51" s="627" t="s">
        <v>44</v>
      </c>
      <c r="CE51" s="627">
        <v>5104</v>
      </c>
      <c r="CF51" s="627">
        <v>300</v>
      </c>
      <c r="CG51" s="627">
        <v>0</v>
      </c>
      <c r="CH51" s="627">
        <v>300</v>
      </c>
    </row>
    <row r="52" spans="3:86"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CC52" s="627">
        <v>212</v>
      </c>
      <c r="CD52" s="627" t="s">
        <v>45</v>
      </c>
      <c r="CE52" s="627">
        <v>1562</v>
      </c>
      <c r="CF52" s="627">
        <v>200</v>
      </c>
      <c r="CG52" s="627">
        <v>0</v>
      </c>
      <c r="CH52" s="627">
        <v>200</v>
      </c>
    </row>
    <row r="53" spans="3:86"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CC53" s="627">
        <v>214</v>
      </c>
      <c r="CD53" s="627" t="s">
        <v>46</v>
      </c>
      <c r="CE53" s="627">
        <v>68620</v>
      </c>
      <c r="CF53" s="627">
        <v>23500</v>
      </c>
      <c r="CG53" s="627">
        <v>0</v>
      </c>
      <c r="CH53" s="627">
        <v>23500</v>
      </c>
    </row>
    <row r="54" spans="3:86"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CC54" s="627">
        <v>218</v>
      </c>
      <c r="CD54" s="627" t="s">
        <v>47</v>
      </c>
      <c r="CE54" s="627">
        <v>583000</v>
      </c>
      <c r="CF54" s="627">
        <v>442400</v>
      </c>
      <c r="CG54" s="627">
        <v>0</v>
      </c>
      <c r="CH54" s="627">
        <v>442400</v>
      </c>
    </row>
    <row r="55" spans="3:86"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CC55" s="627">
        <v>818</v>
      </c>
      <c r="CD55" s="627" t="s">
        <v>48</v>
      </c>
      <c r="CE55" s="627">
        <v>51070</v>
      </c>
      <c r="CF55" s="627">
        <v>1800</v>
      </c>
      <c r="CG55" s="627">
        <v>84000</v>
      </c>
      <c r="CH55" s="627">
        <v>58300</v>
      </c>
    </row>
    <row r="56" spans="3:86"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CC56" s="627">
        <v>222</v>
      </c>
      <c r="CD56" s="627" t="s">
        <v>49</v>
      </c>
      <c r="CE56" s="627">
        <v>37540</v>
      </c>
      <c r="CF56" s="627">
        <v>15630</v>
      </c>
      <c r="CG56" s="627">
        <v>10640</v>
      </c>
      <c r="CH56" s="627">
        <v>26270</v>
      </c>
    </row>
    <row r="57" spans="3:86" ht="18" customHeight="1">
      <c r="C57" s="491"/>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CC57" s="627">
        <v>226</v>
      </c>
      <c r="CD57" s="627" t="s">
        <v>50</v>
      </c>
      <c r="CE57" s="627">
        <v>60480</v>
      </c>
      <c r="CF57" s="627">
        <v>26000</v>
      </c>
      <c r="CG57" s="627">
        <v>0</v>
      </c>
      <c r="CH57" s="627">
        <v>26000</v>
      </c>
    </row>
    <row r="58" spans="3:86" ht="12.75">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174"/>
      <c r="AQ58" s="174"/>
      <c r="AR58" s="174"/>
      <c r="AS58" s="174"/>
      <c r="CC58" s="627">
        <v>232</v>
      </c>
      <c r="CD58" s="627" t="s">
        <v>51</v>
      </c>
      <c r="CE58" s="627">
        <v>45160</v>
      </c>
      <c r="CF58" s="627">
        <v>2800</v>
      </c>
      <c r="CG58" s="627">
        <v>700</v>
      </c>
      <c r="CH58" s="627">
        <v>7315</v>
      </c>
    </row>
    <row r="59" spans="3:86" ht="12.7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174"/>
      <c r="AQ59" s="174"/>
      <c r="AR59" s="174"/>
      <c r="AS59" s="174"/>
      <c r="CC59" s="627">
        <v>231</v>
      </c>
      <c r="CD59" s="627" t="s">
        <v>52</v>
      </c>
      <c r="CE59" s="627">
        <v>936400</v>
      </c>
      <c r="CF59" s="627">
        <v>122000</v>
      </c>
      <c r="CG59" s="627">
        <v>0</v>
      </c>
      <c r="CH59" s="627">
        <v>122000</v>
      </c>
    </row>
    <row r="60" spans="81:86" ht="12.75">
      <c r="CC60" s="627">
        <v>234</v>
      </c>
      <c r="CD60" s="627" t="s">
        <v>524</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525</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526</v>
      </c>
      <c r="CE121" s="627"/>
      <c r="CF121" s="627"/>
      <c r="CG121" s="627">
        <v>0</v>
      </c>
      <c r="CH121" s="627"/>
    </row>
    <row r="122" spans="81:86" ht="12.75">
      <c r="CC122" s="627">
        <v>275</v>
      </c>
      <c r="CD122" s="627" t="s">
        <v>527</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335</v>
      </c>
      <c r="CE144" s="627">
        <v>3072</v>
      </c>
      <c r="CF144" s="627">
        <v>2180</v>
      </c>
      <c r="CG144" s="627">
        <v>0</v>
      </c>
      <c r="CH144" s="627">
        <v>2180</v>
      </c>
    </row>
    <row r="145" spans="81:86" ht="12.75">
      <c r="CC145" s="627">
        <v>682</v>
      </c>
      <c r="CD145" s="627" t="s">
        <v>336</v>
      </c>
      <c r="CE145" s="627">
        <v>126800</v>
      </c>
      <c r="CF145" s="627">
        <v>2400</v>
      </c>
      <c r="CG145" s="627">
        <v>0</v>
      </c>
      <c r="CH145" s="627">
        <v>2400</v>
      </c>
    </row>
    <row r="146" spans="81:86" ht="12.75">
      <c r="CC146" s="627">
        <v>686</v>
      </c>
      <c r="CD146" s="627" t="s">
        <v>337</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338</v>
      </c>
      <c r="CE148" s="627">
        <v>1072</v>
      </c>
      <c r="CF148" s="627"/>
      <c r="CG148" s="627">
        <v>0</v>
      </c>
      <c r="CH148" s="627"/>
    </row>
    <row r="149" spans="81:86" ht="12.75">
      <c r="CC149" s="627">
        <v>694</v>
      </c>
      <c r="CD149" s="627" t="s">
        <v>339</v>
      </c>
      <c r="CE149" s="627">
        <v>182600</v>
      </c>
      <c r="CF149" s="627">
        <v>160000</v>
      </c>
      <c r="CG149" s="627">
        <v>0</v>
      </c>
      <c r="CH149" s="627">
        <v>160000</v>
      </c>
    </row>
    <row r="150" spans="81:86" ht="12.75">
      <c r="CC150" s="627">
        <v>702</v>
      </c>
      <c r="CD150" s="627" t="s">
        <v>340</v>
      </c>
      <c r="CE150" s="627">
        <v>1795</v>
      </c>
      <c r="CF150" s="627">
        <v>600</v>
      </c>
      <c r="CG150" s="627">
        <v>0</v>
      </c>
      <c r="CH150" s="627">
        <v>600</v>
      </c>
    </row>
    <row r="151" spans="81:86" ht="12.75">
      <c r="CC151" s="627">
        <v>703</v>
      </c>
      <c r="CD151" s="627" t="s">
        <v>341</v>
      </c>
      <c r="CE151" s="627">
        <v>40410</v>
      </c>
      <c r="CF151" s="627">
        <v>12600</v>
      </c>
      <c r="CG151" s="627">
        <v>0</v>
      </c>
      <c r="CH151" s="627">
        <v>50100</v>
      </c>
    </row>
    <row r="152" spans="81:86" ht="12.75">
      <c r="CC152" s="627">
        <v>90</v>
      </c>
      <c r="CD152" s="627" t="s">
        <v>342</v>
      </c>
      <c r="CE152" s="627">
        <v>87510</v>
      </c>
      <c r="CF152" s="627">
        <v>44700</v>
      </c>
      <c r="CG152" s="627">
        <v>0</v>
      </c>
      <c r="CH152" s="627">
        <v>44700</v>
      </c>
    </row>
    <row r="153" spans="81:86" ht="12.75">
      <c r="CC153" s="627">
        <v>706</v>
      </c>
      <c r="CD153" s="627" t="s">
        <v>343</v>
      </c>
      <c r="CE153" s="627">
        <v>179800</v>
      </c>
      <c r="CF153" s="627">
        <v>6000</v>
      </c>
      <c r="CG153" s="627">
        <v>8700</v>
      </c>
      <c r="CH153" s="627">
        <v>14700</v>
      </c>
    </row>
    <row r="154" spans="81:86" ht="12.75">
      <c r="CC154" s="627">
        <v>710</v>
      </c>
      <c r="CD154" s="627" t="s">
        <v>344</v>
      </c>
      <c r="CE154" s="627">
        <v>603400</v>
      </c>
      <c r="CF154" s="627">
        <v>44800</v>
      </c>
      <c r="CG154" s="627">
        <v>6600</v>
      </c>
      <c r="CH154" s="627">
        <v>51350</v>
      </c>
    </row>
    <row r="155" spans="81:86" ht="12.75">
      <c r="CC155" s="627">
        <v>728</v>
      </c>
      <c r="CD155" s="627" t="s">
        <v>528</v>
      </c>
      <c r="CE155" s="627">
        <v>579900</v>
      </c>
      <c r="CF155" s="627">
        <v>26000</v>
      </c>
      <c r="CG155" s="627">
        <v>50000</v>
      </c>
      <c r="CH155" s="627">
        <v>49500</v>
      </c>
    </row>
    <row r="156" spans="81:86" ht="12.75">
      <c r="CC156" s="627">
        <v>144</v>
      </c>
      <c r="CD156" s="627" t="s">
        <v>345</v>
      </c>
      <c r="CE156" s="627">
        <v>112300</v>
      </c>
      <c r="CF156" s="627">
        <v>52800</v>
      </c>
      <c r="CG156" s="627">
        <v>0</v>
      </c>
      <c r="CH156" s="627">
        <v>52800</v>
      </c>
    </row>
    <row r="157" spans="81:86" ht="12.75">
      <c r="CC157" s="627">
        <v>729</v>
      </c>
      <c r="CD157" s="627" t="s">
        <v>529</v>
      </c>
      <c r="CE157" s="627">
        <v>469800</v>
      </c>
      <c r="CF157" s="627">
        <v>4000</v>
      </c>
      <c r="CG157" s="627">
        <v>99300</v>
      </c>
      <c r="CH157" s="627">
        <v>37800</v>
      </c>
    </row>
    <row r="158" spans="81:86" ht="12.75">
      <c r="CC158" s="627">
        <v>740</v>
      </c>
      <c r="CD158" s="627" t="s">
        <v>346</v>
      </c>
      <c r="CE158" s="627">
        <v>381900</v>
      </c>
      <c r="CF158" s="627">
        <v>99000</v>
      </c>
      <c r="CG158" s="627">
        <v>0</v>
      </c>
      <c r="CH158" s="627">
        <v>99000</v>
      </c>
    </row>
    <row r="159" spans="81:86" ht="12.75">
      <c r="CC159" s="627">
        <v>748</v>
      </c>
      <c r="CD159" s="627" t="s">
        <v>347</v>
      </c>
      <c r="CE159" s="627">
        <v>13680</v>
      </c>
      <c r="CF159" s="627">
        <v>2640</v>
      </c>
      <c r="CG159" s="627">
        <v>1870</v>
      </c>
      <c r="CH159" s="627">
        <v>4510</v>
      </c>
    </row>
    <row r="160" spans="81:86" ht="12.75">
      <c r="CC160" s="627">
        <v>760</v>
      </c>
      <c r="CD160" s="627" t="s">
        <v>348</v>
      </c>
      <c r="CE160" s="627">
        <v>46670</v>
      </c>
      <c r="CF160" s="627">
        <v>7132</v>
      </c>
      <c r="CG160" s="627">
        <v>28520</v>
      </c>
      <c r="CH160" s="627">
        <v>16800</v>
      </c>
    </row>
    <row r="161" spans="81:86" ht="12.75">
      <c r="CC161" s="627">
        <v>762</v>
      </c>
      <c r="CD161" s="627" t="s">
        <v>349</v>
      </c>
      <c r="CE161" s="627">
        <v>97690</v>
      </c>
      <c r="CF161" s="627">
        <v>63460</v>
      </c>
      <c r="CG161" s="627">
        <v>34190</v>
      </c>
      <c r="CH161" s="627">
        <v>21910</v>
      </c>
    </row>
    <row r="162" spans="81:86" ht="12.75">
      <c r="CC162" s="627">
        <v>764</v>
      </c>
      <c r="CD162" s="627" t="s">
        <v>350</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351</v>
      </c>
      <c r="CE165" s="627">
        <v>66330</v>
      </c>
      <c r="CF165" s="627">
        <v>11500</v>
      </c>
      <c r="CG165" s="627">
        <v>3200</v>
      </c>
      <c r="CH165" s="627">
        <v>14700</v>
      </c>
    </row>
    <row r="166" spans="81:86" ht="12.75">
      <c r="CC166" s="632">
        <v>772</v>
      </c>
      <c r="CD166" s="632" t="s">
        <v>530</v>
      </c>
      <c r="CE166" s="632"/>
      <c r="CF166" s="632"/>
      <c r="CG166" s="632">
        <v>0</v>
      </c>
      <c r="CH166" s="632"/>
    </row>
    <row r="167" spans="81:86" ht="12.75">
      <c r="CC167" s="632">
        <v>776</v>
      </c>
      <c r="CD167" s="632" t="s">
        <v>352</v>
      </c>
      <c r="CE167" s="632"/>
      <c r="CF167" s="632"/>
      <c r="CG167" s="632">
        <v>0</v>
      </c>
      <c r="CH167" s="632"/>
    </row>
    <row r="168" spans="81:86" ht="12.75">
      <c r="CC168" s="627">
        <v>780</v>
      </c>
      <c r="CD168" s="627" t="s">
        <v>353</v>
      </c>
      <c r="CE168" s="627">
        <v>11290</v>
      </c>
      <c r="CF168" s="627">
        <v>3840</v>
      </c>
      <c r="CG168" s="627">
        <v>0</v>
      </c>
      <c r="CH168" s="627">
        <v>3840</v>
      </c>
    </row>
    <row r="169" spans="81:86" ht="12.75">
      <c r="CC169" s="627">
        <v>788</v>
      </c>
      <c r="CD169" s="627" t="s">
        <v>354</v>
      </c>
      <c r="CE169" s="627">
        <v>33870</v>
      </c>
      <c r="CF169" s="627">
        <v>4195</v>
      </c>
      <c r="CG169" s="627">
        <v>320</v>
      </c>
      <c r="CH169" s="627">
        <v>4615</v>
      </c>
    </row>
    <row r="170" spans="81:86" ht="12.75">
      <c r="CC170" s="627">
        <v>795</v>
      </c>
      <c r="CD170" s="627" t="s">
        <v>355</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356</v>
      </c>
      <c r="CE172" s="627">
        <v>285000</v>
      </c>
      <c r="CF172" s="627">
        <v>39000</v>
      </c>
      <c r="CG172" s="627">
        <v>21100</v>
      </c>
      <c r="CH172" s="627">
        <v>60100</v>
      </c>
    </row>
    <row r="173" spans="81:86" ht="12.75">
      <c r="CC173" s="627">
        <v>804</v>
      </c>
      <c r="CD173" s="627" t="s">
        <v>357</v>
      </c>
      <c r="CE173" s="627">
        <v>341000</v>
      </c>
      <c r="CF173" s="627">
        <v>55100</v>
      </c>
      <c r="CG173" s="627">
        <v>36130</v>
      </c>
      <c r="CH173" s="627">
        <v>175300</v>
      </c>
    </row>
    <row r="174" spans="81:86" ht="12.75">
      <c r="CC174" s="627">
        <v>784</v>
      </c>
      <c r="CD174" s="627" t="s">
        <v>358</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360</v>
      </c>
      <c r="CE176" s="627">
        <v>229100</v>
      </c>
      <c r="CF176" s="627">
        <v>92200</v>
      </c>
      <c r="CG176" s="627">
        <v>5000</v>
      </c>
      <c r="CH176" s="627">
        <v>172200</v>
      </c>
    </row>
    <row r="177" spans="81:86" ht="12.75">
      <c r="CC177" s="627">
        <v>860</v>
      </c>
      <c r="CD177" s="627" t="s">
        <v>361</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362</v>
      </c>
      <c r="CE180" s="627">
        <v>602700</v>
      </c>
      <c r="CF180" s="627">
        <v>359400</v>
      </c>
      <c r="CG180" s="627">
        <v>524700</v>
      </c>
      <c r="CH180" s="627">
        <v>884100</v>
      </c>
    </row>
    <row r="181" spans="81:86" ht="12.75">
      <c r="CC181" s="627">
        <v>887</v>
      </c>
      <c r="CD181" s="627" t="s">
        <v>363</v>
      </c>
      <c r="CE181" s="627">
        <v>88170</v>
      </c>
      <c r="CF181" s="627">
        <v>2100</v>
      </c>
      <c r="CG181" s="627">
        <v>0</v>
      </c>
      <c r="CH181" s="627">
        <v>2100</v>
      </c>
    </row>
    <row r="182" spans="81:86" ht="12.75">
      <c r="CC182" s="627">
        <v>894</v>
      </c>
      <c r="CD182" s="627" t="s">
        <v>364</v>
      </c>
      <c r="CE182" s="627">
        <v>767700</v>
      </c>
      <c r="CF182" s="627">
        <v>80200</v>
      </c>
      <c r="CG182" s="627">
        <v>24600</v>
      </c>
      <c r="CH182" s="627">
        <v>104800</v>
      </c>
    </row>
    <row r="183" spans="81:86" ht="12.75">
      <c r="CC183" s="627">
        <v>716</v>
      </c>
      <c r="CD183" s="627" t="s">
        <v>365</v>
      </c>
      <c r="CE183" s="627">
        <v>256700</v>
      </c>
      <c r="CF183" s="627">
        <v>12260</v>
      </c>
      <c r="CG183" s="627">
        <v>0</v>
      </c>
      <c r="CH183" s="627">
        <v>20000</v>
      </c>
    </row>
  </sheetData>
  <sheetProtection formatCells="0" formatColumns="0" formatRows="0" insertColumn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F10">
    <cfRule type="cellIs" priority="86" dxfId="338" operator="lessThan" stopIfTrue="1">
      <formula>F8-F9-(0.01*(F8-F9))</formula>
    </cfRule>
  </conditionalFormatting>
  <conditionalFormatting sqref="F12">
    <cfRule type="cellIs" priority="87" dxfId="338" operator="lessThan" stopIfTrue="1">
      <formula>F10+F11-(0.01*(F10+F11))</formula>
    </cfRule>
  </conditionalFormatting>
  <conditionalFormatting sqref="F13">
    <cfRule type="cellIs" priority="88" dxfId="338" operator="lessThan" stopIfTrue="1">
      <formula>0.99*(F14+F15)</formula>
    </cfRule>
  </conditionalFormatting>
  <conditionalFormatting sqref="H10">
    <cfRule type="cellIs" priority="84" dxfId="338" operator="lessThan" stopIfTrue="1">
      <formula>H8-H9-(0.01*(H8-H9))</formula>
    </cfRule>
  </conditionalFormatting>
  <conditionalFormatting sqref="H12">
    <cfRule type="cellIs" priority="85" dxfId="338" operator="lessThan" stopIfTrue="1">
      <formula>H10+H11-(0.01*(H10+H11))</formula>
    </cfRule>
  </conditionalFormatting>
  <conditionalFormatting sqref="J10">
    <cfRule type="cellIs" priority="82" dxfId="338" operator="lessThan" stopIfTrue="1">
      <formula>J8-J9-(0.01*(J8-J9))</formula>
    </cfRule>
  </conditionalFormatting>
  <conditionalFormatting sqref="J12">
    <cfRule type="cellIs" priority="83" dxfId="338" operator="lessThan" stopIfTrue="1">
      <formula>J10+J11-(0.01*(J10+J11))</formula>
    </cfRule>
  </conditionalFormatting>
  <conditionalFormatting sqref="L10">
    <cfRule type="cellIs" priority="80" dxfId="338" operator="lessThan" stopIfTrue="1">
      <formula>L8-L9-(0.01*(L8-L9))</formula>
    </cfRule>
  </conditionalFormatting>
  <conditionalFormatting sqref="L12">
    <cfRule type="cellIs" priority="81" dxfId="338" operator="lessThan" stopIfTrue="1">
      <formula>L10+L11-(0.01*(L10+L11))</formula>
    </cfRule>
  </conditionalFormatting>
  <conditionalFormatting sqref="N10">
    <cfRule type="cellIs" priority="78" dxfId="338" operator="lessThan" stopIfTrue="1">
      <formula>N8-N9-(0.01*(N8-N9))</formula>
    </cfRule>
  </conditionalFormatting>
  <conditionalFormatting sqref="N12">
    <cfRule type="cellIs" priority="79" dxfId="338" operator="lessThan" stopIfTrue="1">
      <formula>N10+N11-(0.01*(N10+N11))</formula>
    </cfRule>
  </conditionalFormatting>
  <conditionalFormatting sqref="P10">
    <cfRule type="cellIs" priority="76" dxfId="338" operator="lessThan" stopIfTrue="1">
      <formula>P8-P9-(0.01*(P8-P9))</formula>
    </cfRule>
  </conditionalFormatting>
  <conditionalFormatting sqref="P12">
    <cfRule type="cellIs" priority="77" dxfId="338" operator="lessThan" stopIfTrue="1">
      <formula>P10+P11-(0.01*(P10+P11))</formula>
    </cfRule>
  </conditionalFormatting>
  <conditionalFormatting sqref="R10">
    <cfRule type="cellIs" priority="74" dxfId="338" operator="lessThan" stopIfTrue="1">
      <formula>R8-R9-(0.01*(R8-R9))</formula>
    </cfRule>
  </conditionalFormatting>
  <conditionalFormatting sqref="R12">
    <cfRule type="cellIs" priority="75" dxfId="338" operator="lessThan" stopIfTrue="1">
      <formula>R10+R11-(0.01*(R10+R11))</formula>
    </cfRule>
  </conditionalFormatting>
  <conditionalFormatting sqref="T10">
    <cfRule type="cellIs" priority="72" dxfId="338" operator="lessThan" stopIfTrue="1">
      <formula>T8-T9-(0.01*(T8-T9))</formula>
    </cfRule>
  </conditionalFormatting>
  <conditionalFormatting sqref="T12">
    <cfRule type="cellIs" priority="73" dxfId="338" operator="lessThan" stopIfTrue="1">
      <formula>T10+T11-(0.01*(T10+T11))</formula>
    </cfRule>
  </conditionalFormatting>
  <conditionalFormatting sqref="V10">
    <cfRule type="cellIs" priority="70" dxfId="338" operator="lessThan" stopIfTrue="1">
      <formula>V8-V9-(0.01*(V8-V9))</formula>
    </cfRule>
  </conditionalFormatting>
  <conditionalFormatting sqref="V12">
    <cfRule type="cellIs" priority="71" dxfId="338" operator="lessThan" stopIfTrue="1">
      <formula>V10+V11-(0.01*(V10+V11))</formula>
    </cfRule>
  </conditionalFormatting>
  <conditionalFormatting sqref="X10">
    <cfRule type="cellIs" priority="68" dxfId="338" operator="lessThan" stopIfTrue="1">
      <formula>X8-X9-(0.01*(X8-X9))</formula>
    </cfRule>
  </conditionalFormatting>
  <conditionalFormatting sqref="X12">
    <cfRule type="cellIs" priority="69" dxfId="338" operator="lessThan" stopIfTrue="1">
      <formula>X10+X11-(0.01*(X10+X11))</formula>
    </cfRule>
  </conditionalFormatting>
  <conditionalFormatting sqref="Z10">
    <cfRule type="cellIs" priority="66" dxfId="338" operator="lessThan" stopIfTrue="1">
      <formula>Z8-Z9-(0.01*(Z8-Z9))</formula>
    </cfRule>
  </conditionalFormatting>
  <conditionalFormatting sqref="Z12">
    <cfRule type="cellIs" priority="67" dxfId="338" operator="lessThan" stopIfTrue="1">
      <formula>Z10+Z11-(0.01*(Z10+Z11))</formula>
    </cfRule>
  </conditionalFormatting>
  <conditionalFormatting sqref="AB10">
    <cfRule type="cellIs" priority="64" dxfId="338" operator="lessThan" stopIfTrue="1">
      <formula>AB8-AB9-(0.01*(AB8-AB9))</formula>
    </cfRule>
  </conditionalFormatting>
  <conditionalFormatting sqref="AB12">
    <cfRule type="cellIs" priority="65" dxfId="338" operator="lessThan" stopIfTrue="1">
      <formula>AB10+AB11-(0.01*(AB10+AB11))</formula>
    </cfRule>
  </conditionalFormatting>
  <conditionalFormatting sqref="AD10">
    <cfRule type="cellIs" priority="62" dxfId="338" operator="lessThan" stopIfTrue="1">
      <formula>AD8-AD9-(0.01*(AD8-AD9))</formula>
    </cfRule>
  </conditionalFormatting>
  <conditionalFormatting sqref="AD12">
    <cfRule type="cellIs" priority="63" dxfId="338" operator="lessThan" stopIfTrue="1">
      <formula>AD10+AD11-(0.01*(AD10+AD11))</formula>
    </cfRule>
  </conditionalFormatting>
  <conditionalFormatting sqref="AF10">
    <cfRule type="cellIs" priority="60" dxfId="338" operator="lessThan" stopIfTrue="1">
      <formula>AF8-AF9-(0.01*(AF8-AF9))</formula>
    </cfRule>
  </conditionalFormatting>
  <conditionalFormatting sqref="AF12">
    <cfRule type="cellIs" priority="61" dxfId="338" operator="lessThan" stopIfTrue="1">
      <formula>AF10+AF11-(0.01*(AF10+AF11))</formula>
    </cfRule>
  </conditionalFormatting>
  <conditionalFormatting sqref="AH10">
    <cfRule type="cellIs" priority="58" dxfId="338" operator="lessThan" stopIfTrue="1">
      <formula>AH8-AH9-(0.01*(AH8-AH9))</formula>
    </cfRule>
  </conditionalFormatting>
  <conditionalFormatting sqref="AH12">
    <cfRule type="cellIs" priority="59" dxfId="338" operator="lessThan" stopIfTrue="1">
      <formula>AH10+AH11-(0.01*(AH10+AH11))</formula>
    </cfRule>
  </conditionalFormatting>
  <conditionalFormatting sqref="AJ10">
    <cfRule type="cellIs" priority="56" dxfId="338" operator="lessThan" stopIfTrue="1">
      <formula>AJ8-AJ9-(0.01*(AJ8-AJ9))</formula>
    </cfRule>
  </conditionalFormatting>
  <conditionalFormatting sqref="AJ12">
    <cfRule type="cellIs" priority="57" dxfId="338" operator="lessThan" stopIfTrue="1">
      <formula>AJ10+AJ11-(0.01*(AJ10+AJ11))</formula>
    </cfRule>
  </conditionalFormatting>
  <conditionalFormatting sqref="AN10">
    <cfRule type="cellIs" priority="54" dxfId="338" operator="lessThan" stopIfTrue="1">
      <formula>AN8-AN9-(0.01*(AN8-AN9))</formula>
    </cfRule>
  </conditionalFormatting>
  <conditionalFormatting sqref="AN12">
    <cfRule type="cellIs" priority="55" dxfId="338" operator="lessThan" stopIfTrue="1">
      <formula>AN10+AN11-(0.01*(AN10+AN11))</formula>
    </cfRule>
  </conditionalFormatting>
  <conditionalFormatting sqref="AP10">
    <cfRule type="cellIs" priority="52" dxfId="338" operator="lessThan" stopIfTrue="1">
      <formula>AP8-AP9-(0.01*(AP8-AP9))</formula>
    </cfRule>
  </conditionalFormatting>
  <conditionalFormatting sqref="AP12">
    <cfRule type="cellIs" priority="53" dxfId="338" operator="lessThan" stopIfTrue="1">
      <formula>AP10+AP11-(0.01*(AP10+AP11))</formula>
    </cfRule>
  </conditionalFormatting>
  <conditionalFormatting sqref="AR10:AX10">
    <cfRule type="cellIs" priority="50" dxfId="338" operator="lessThan" stopIfTrue="1">
      <formula>AR8-AR9-(0.01*(AR8-AR9))</formula>
    </cfRule>
  </conditionalFormatting>
  <conditionalFormatting sqref="AR12:AX12">
    <cfRule type="cellIs" priority="51" dxfId="338" operator="lessThan" stopIfTrue="1">
      <formula>AR10+AR11-(0.01*(AR10+AR11))</formula>
    </cfRule>
  </conditionalFormatting>
  <conditionalFormatting sqref="H13">
    <cfRule type="cellIs" priority="43" dxfId="338" operator="lessThan" stopIfTrue="1">
      <formula>0.99*(H14+H15)</formula>
    </cfRule>
  </conditionalFormatting>
  <conditionalFormatting sqref="J13">
    <cfRule type="cellIs" priority="42" dxfId="338" operator="lessThan" stopIfTrue="1">
      <formula>0.99*(J14+J15)</formula>
    </cfRule>
  </conditionalFormatting>
  <conditionalFormatting sqref="L13">
    <cfRule type="cellIs" priority="41" dxfId="338" operator="lessThan" stopIfTrue="1">
      <formula>0.99*(L14+L15)</formula>
    </cfRule>
  </conditionalFormatting>
  <conditionalFormatting sqref="N13">
    <cfRule type="cellIs" priority="40" dxfId="338" operator="lessThan" stopIfTrue="1">
      <formula>0.99*(N14+N15)</formula>
    </cfRule>
  </conditionalFormatting>
  <conditionalFormatting sqref="P13">
    <cfRule type="cellIs" priority="39" dxfId="338" operator="lessThan" stopIfTrue="1">
      <formula>0.99*(P14+P15)</formula>
    </cfRule>
  </conditionalFormatting>
  <conditionalFormatting sqref="R13">
    <cfRule type="cellIs" priority="38" dxfId="338" operator="lessThan" stopIfTrue="1">
      <formula>0.99*(R14+R15)</formula>
    </cfRule>
  </conditionalFormatting>
  <conditionalFormatting sqref="T13">
    <cfRule type="cellIs" priority="37" dxfId="338" operator="lessThan" stopIfTrue="1">
      <formula>0.99*(T14+T15)</formula>
    </cfRule>
  </conditionalFormatting>
  <conditionalFormatting sqref="V13">
    <cfRule type="cellIs" priority="36" dxfId="338" operator="lessThan" stopIfTrue="1">
      <formula>0.99*(V14+V15)</formula>
    </cfRule>
  </conditionalFormatting>
  <conditionalFormatting sqref="X13">
    <cfRule type="cellIs" priority="35" dxfId="338" operator="lessThan" stopIfTrue="1">
      <formula>0.99*(X14+X15)</formula>
    </cfRule>
  </conditionalFormatting>
  <conditionalFormatting sqref="Z13">
    <cfRule type="cellIs" priority="34" dxfId="338" operator="lessThan" stopIfTrue="1">
      <formula>0.99*(Z14+Z15)</formula>
    </cfRule>
  </conditionalFormatting>
  <conditionalFormatting sqref="AB13">
    <cfRule type="cellIs" priority="33" dxfId="338" operator="lessThan" stopIfTrue="1">
      <formula>0.99*(AB14+AB15)</formula>
    </cfRule>
  </conditionalFormatting>
  <conditionalFormatting sqref="AD13">
    <cfRule type="cellIs" priority="32" dxfId="338" operator="lessThan" stopIfTrue="1">
      <formula>0.99*(AD14+AD15)</formula>
    </cfRule>
  </conditionalFormatting>
  <conditionalFormatting sqref="AF13">
    <cfRule type="cellIs" priority="31" dxfId="338" operator="lessThan" stopIfTrue="1">
      <formula>0.99*(AF14+AF15)</formula>
    </cfRule>
  </conditionalFormatting>
  <conditionalFormatting sqref="AH13">
    <cfRule type="cellIs" priority="30" dxfId="338" operator="lessThan" stopIfTrue="1">
      <formula>0.99*(AH14+AH15)</formula>
    </cfRule>
  </conditionalFormatting>
  <conditionalFormatting sqref="AJ13">
    <cfRule type="cellIs" priority="29" dxfId="338" operator="lessThan" stopIfTrue="1">
      <formula>0.99*(AJ14+AJ15)</formula>
    </cfRule>
  </conditionalFormatting>
  <conditionalFormatting sqref="AN13">
    <cfRule type="cellIs" priority="28" dxfId="338" operator="lessThan" stopIfTrue="1">
      <formula>0.99*(AN14+AN15)</formula>
    </cfRule>
  </conditionalFormatting>
  <conditionalFormatting sqref="AP13">
    <cfRule type="cellIs" priority="27" dxfId="338" operator="lessThan" stopIfTrue="1">
      <formula>0.99*(AP14+AP15)</formula>
    </cfRule>
  </conditionalFormatting>
  <conditionalFormatting sqref="AL10">
    <cfRule type="cellIs" priority="21" dxfId="338" operator="lessThan" stopIfTrue="1">
      <formula>AL8-AL9-(0.01*(AL8-AL9))</formula>
    </cfRule>
  </conditionalFormatting>
  <conditionalFormatting sqref="AL12">
    <cfRule type="cellIs" priority="22" dxfId="338" operator="lessThan" stopIfTrue="1">
      <formula>AL10+AL11-(0.01*(AL10+AL11))</formula>
    </cfRule>
  </conditionalFormatting>
  <conditionalFormatting sqref="AL13">
    <cfRule type="cellIs" priority="20" dxfId="338" operator="lessThan" stopIfTrue="1">
      <formula>0.99*(AL14+AL15)</formula>
    </cfRule>
  </conditionalFormatting>
  <conditionalFormatting sqref="BE32 BE35 BE38 BE29">
    <cfRule type="cellIs" priority="6" dxfId="338" operator="greaterThan" stopIfTrue="1">
      <formula>0</formula>
    </cfRule>
  </conditionalFormatting>
  <conditionalFormatting sqref="BE23 BE26 BG26:BZ26 BG23:BZ23">
    <cfRule type="cellIs" priority="8" dxfId="338" operator="equal" stopIfTrue="1">
      <formula>"&lt;&gt;"</formula>
    </cfRule>
  </conditionalFormatting>
  <conditionalFormatting sqref="BH8:BZ16">
    <cfRule type="cellIs" priority="7" dxfId="338" operator="equal" stopIfTrue="1">
      <formula>"&gt; 25%"</formula>
    </cfRule>
  </conditionalFormatting>
  <conditionalFormatting sqref="CA26 CA23">
    <cfRule type="cellIs" priority="5" dxfId="338" operator="equal" stopIfTrue="1">
      <formula>"&lt;&gt;"</formula>
    </cfRule>
  </conditionalFormatting>
  <conditionalFormatting sqref="CA8:CA16">
    <cfRule type="cellIs" priority="4" dxfId="338" operator="equal" stopIfTrue="1">
      <formula>"&gt; 25%"</formula>
    </cfRule>
  </conditionalFormatting>
  <conditionalFormatting sqref="BW8:BX16">
    <cfRule type="cellIs" priority="3" dxfId="338" operator="equal" stopIfTrue="1">
      <formula>"&gt; 25%"</formula>
    </cfRule>
  </conditionalFormatting>
  <conditionalFormatting sqref="BW26:BX26 BW23:BX23">
    <cfRule type="cellIs" priority="2" dxfId="338"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95"/>
  <sheetViews>
    <sheetView showGridLines="0" zoomScaleSheetLayoutView="25" workbookViewId="0" topLeftCell="C1">
      <selection activeCell="F8" sqref="F8"/>
    </sheetView>
  </sheetViews>
  <sheetFormatPr defaultColWidth="9.33203125" defaultRowHeight="12.75"/>
  <cols>
    <col min="1" max="1" width="3.5" style="166" hidden="1" customWidth="1"/>
    <col min="2" max="2" width="7.5" style="137" hidden="1" customWidth="1"/>
    <col min="3" max="3" width="7.33203125" style="171" customWidth="1"/>
    <col min="4" max="4" width="44.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6.16015625" style="230" customWidth="1"/>
    <col min="11" max="11" width="1.83203125" style="230" customWidth="1"/>
    <col min="12" max="12" width="6.16015625" style="230" customWidth="1"/>
    <col min="13" max="13" width="1.83203125" style="230" customWidth="1"/>
    <col min="14" max="14" width="6.16015625" style="230" customWidth="1"/>
    <col min="15" max="15" width="1.83203125" style="230" customWidth="1"/>
    <col min="16" max="16" width="6.16015625" style="229" customWidth="1"/>
    <col min="17" max="17" width="1.83203125" style="230" customWidth="1"/>
    <col min="18" max="18" width="6.16015625" style="229" customWidth="1"/>
    <col min="19" max="19" width="1.83203125" style="230" customWidth="1"/>
    <col min="20" max="20" width="6.16015625" style="229" customWidth="1"/>
    <col min="21" max="21" width="1.83203125" style="230" customWidth="1"/>
    <col min="22" max="22" width="6.16015625" style="229" customWidth="1"/>
    <col min="23" max="23" width="1.83203125" style="228" customWidth="1"/>
    <col min="24" max="24" width="6.16015625" style="229" customWidth="1"/>
    <col min="25" max="25" width="1.83203125" style="228" customWidth="1"/>
    <col min="26" max="26" width="6.16015625" style="229" customWidth="1"/>
    <col min="27" max="27" width="1.83203125" style="228" customWidth="1"/>
    <col min="28" max="28" width="6.16015625" style="229" customWidth="1"/>
    <col min="29" max="29" width="1.83203125" style="228" customWidth="1"/>
    <col min="30" max="30" width="6.1601562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520</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v>20</v>
      </c>
      <c r="C3" s="296" t="s">
        <v>312</v>
      </c>
      <c r="D3" s="501" t="s">
        <v>134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26" t="s">
        <v>467</v>
      </c>
      <c r="D5" s="826"/>
      <c r="E5" s="827"/>
      <c r="F5" s="827"/>
      <c r="G5" s="827"/>
      <c r="H5" s="828"/>
      <c r="I5" s="828"/>
      <c r="J5" s="828"/>
      <c r="K5" s="828"/>
      <c r="L5" s="828"/>
      <c r="M5" s="828"/>
      <c r="N5" s="828"/>
      <c r="O5" s="828"/>
      <c r="P5" s="828"/>
      <c r="Q5" s="828"/>
      <c r="R5" s="828"/>
      <c r="S5" s="828"/>
      <c r="T5" s="828"/>
      <c r="U5" s="828"/>
      <c r="V5" s="828"/>
      <c r="W5" s="827"/>
      <c r="X5" s="828"/>
      <c r="Y5" s="827"/>
      <c r="Z5" s="828"/>
      <c r="AA5" s="827"/>
      <c r="AB5" s="828"/>
      <c r="AC5" s="827"/>
      <c r="AD5" s="828"/>
      <c r="AE5" s="827"/>
      <c r="AF5" s="828"/>
      <c r="AG5" s="827"/>
      <c r="AH5" s="828"/>
      <c r="AI5" s="828"/>
      <c r="AJ5" s="828"/>
      <c r="AK5" s="827"/>
      <c r="AL5" s="828"/>
      <c r="AM5" s="827"/>
      <c r="AN5" s="308"/>
      <c r="AO5" s="309"/>
      <c r="AP5" s="309"/>
      <c r="AQ5" s="309"/>
      <c r="AR5" s="309"/>
      <c r="AS5" s="309"/>
      <c r="AT5" s="308"/>
      <c r="AU5" s="310"/>
      <c r="AV5" s="309"/>
      <c r="AW5" s="309"/>
      <c r="AX5" s="310"/>
      <c r="AZ5" s="311" t="s">
        <v>404</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458</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665</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291</v>
      </c>
      <c r="D7" s="181" t="s">
        <v>292</v>
      </c>
      <c r="E7" s="181" t="s">
        <v>293</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235</v>
      </c>
      <c r="E8" s="210" t="s">
        <v>294</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c r="AI8" s="507"/>
      <c r="AJ8" s="492"/>
      <c r="AK8" s="507"/>
      <c r="AL8" s="492"/>
      <c r="AM8" s="507"/>
      <c r="AN8" s="492"/>
      <c r="AO8" s="507"/>
      <c r="AP8" s="492"/>
      <c r="AQ8" s="507"/>
      <c r="AR8" s="492"/>
      <c r="AS8" s="507"/>
      <c r="AT8" s="492"/>
      <c r="AU8" s="507"/>
      <c r="AV8" s="492"/>
      <c r="AW8" s="507"/>
      <c r="AY8" s="688"/>
      <c r="AZ8" s="580">
        <v>1</v>
      </c>
      <c r="BA8" s="255" t="s">
        <v>666</v>
      </c>
      <c r="BB8" s="66" t="s">
        <v>424</v>
      </c>
      <c r="BC8" s="54" t="s">
        <v>428</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N/A</v>
      </c>
      <c r="CH8" s="54"/>
      <c r="CI8" s="54" t="str">
        <f aca="true" t="shared" si="13" ref="CI8:CI40">IF(OR(ISBLANK(AJ8),ISBLANK(AL8)),"N/A",IF(ABS((AL8-AJ8)/AJ8)&gt;0.25,"&gt; 25%","ok"))</f>
        <v>N/A</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N/A</v>
      </c>
      <c r="CR8" s="54"/>
      <c r="CS8" s="54" t="str">
        <f aca="true" t="shared" si="18" ref="CS8:CS40">IF(OR(ISBLANK(AT8),ISBLANK(AV8)),"N/A",IF(ABS((AV8-AT8)/AT8)&gt;0.25,"&gt; 25%","ok"))</f>
        <v>N/A</v>
      </c>
      <c r="CT8" s="54"/>
    </row>
    <row r="9" spans="1:98" s="183" customFormat="1" ht="14.25" customHeight="1">
      <c r="A9" s="178"/>
      <c r="B9" s="317">
        <v>25</v>
      </c>
      <c r="C9" s="207">
        <v>2</v>
      </c>
      <c r="D9" s="318" t="s">
        <v>468</v>
      </c>
      <c r="E9" s="210" t="s">
        <v>294</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c r="AI9" s="507"/>
      <c r="AJ9" s="492"/>
      <c r="AK9" s="507"/>
      <c r="AL9" s="492"/>
      <c r="AM9" s="507"/>
      <c r="AN9" s="492"/>
      <c r="AO9" s="507"/>
      <c r="AP9" s="492"/>
      <c r="AQ9" s="507"/>
      <c r="AR9" s="492"/>
      <c r="AS9" s="507"/>
      <c r="AT9" s="492"/>
      <c r="AU9" s="507"/>
      <c r="AV9" s="492"/>
      <c r="AW9" s="507"/>
      <c r="AY9" s="689"/>
      <c r="AZ9" s="519">
        <v>2</v>
      </c>
      <c r="BA9" s="255" t="s">
        <v>667</v>
      </c>
      <c r="BB9" s="56" t="s">
        <v>424</v>
      </c>
      <c r="BC9" s="54" t="s">
        <v>428</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N/A</v>
      </c>
      <c r="CH9" s="54"/>
      <c r="CI9" s="54" t="str">
        <f t="shared" si="13"/>
        <v>N/A</v>
      </c>
      <c r="CJ9" s="54"/>
      <c r="CK9" s="54" t="str">
        <f t="shared" si="14"/>
        <v>N/A</v>
      </c>
      <c r="CL9" s="54"/>
      <c r="CM9" s="54" t="str">
        <f t="shared" si="15"/>
        <v>N/A</v>
      </c>
      <c r="CN9" s="54"/>
      <c r="CO9" s="54" t="str">
        <f t="shared" si="16"/>
        <v>N/A</v>
      </c>
      <c r="CP9" s="54"/>
      <c r="CQ9" s="54" t="str">
        <f t="shared" si="17"/>
        <v>N/A</v>
      </c>
      <c r="CR9" s="54"/>
      <c r="CS9" s="54" t="str">
        <f t="shared" si="18"/>
        <v>N/A</v>
      </c>
      <c r="CT9" s="54"/>
    </row>
    <row r="10" spans="1:98" s="322" customFormat="1" ht="14.25" customHeight="1">
      <c r="A10" s="319" t="s">
        <v>419</v>
      </c>
      <c r="B10" s="320">
        <v>5001</v>
      </c>
      <c r="C10" s="189">
        <v>3</v>
      </c>
      <c r="D10" s="321" t="s">
        <v>657</v>
      </c>
      <c r="E10" s="210" t="s">
        <v>294</v>
      </c>
      <c r="F10" s="488"/>
      <c r="G10" s="503"/>
      <c r="H10" s="488"/>
      <c r="I10" s="503"/>
      <c r="J10" s="488"/>
      <c r="K10" s="503"/>
      <c r="L10" s="488"/>
      <c r="M10" s="503"/>
      <c r="N10" s="488"/>
      <c r="O10" s="503"/>
      <c r="P10" s="488"/>
      <c r="Q10" s="503"/>
      <c r="R10" s="488"/>
      <c r="S10" s="503"/>
      <c r="T10" s="488"/>
      <c r="U10" s="503"/>
      <c r="V10" s="488"/>
      <c r="W10" s="503"/>
      <c r="X10" s="488">
        <v>16.609487533569336</v>
      </c>
      <c r="Y10" s="503" t="s">
        <v>704</v>
      </c>
      <c r="Z10" s="488">
        <v>16.39779281616211</v>
      </c>
      <c r="AA10" s="503" t="s">
        <v>704</v>
      </c>
      <c r="AB10" s="488">
        <v>15.416619300842285</v>
      </c>
      <c r="AC10" s="503" t="s">
        <v>704</v>
      </c>
      <c r="AD10" s="488">
        <v>15.829466819763184</v>
      </c>
      <c r="AE10" s="503" t="s">
        <v>704</v>
      </c>
      <c r="AF10" s="488">
        <v>16.044193267822266</v>
      </c>
      <c r="AG10" s="503" t="s">
        <v>704</v>
      </c>
      <c r="AH10" s="488">
        <v>16.587621688842773</v>
      </c>
      <c r="AI10" s="503" t="s">
        <v>704</v>
      </c>
      <c r="AJ10" s="488">
        <v>17.151851654052734</v>
      </c>
      <c r="AK10" s="503" t="s">
        <v>704</v>
      </c>
      <c r="AL10" s="488">
        <v>15.445691108703613</v>
      </c>
      <c r="AM10" s="503" t="s">
        <v>704</v>
      </c>
      <c r="AN10" s="488">
        <v>15.669940948486328</v>
      </c>
      <c r="AO10" s="503" t="s">
        <v>704</v>
      </c>
      <c r="AP10" s="488">
        <v>17.01</v>
      </c>
      <c r="AQ10" s="503" t="s">
        <v>704</v>
      </c>
      <c r="AR10" s="488">
        <v>17.58</v>
      </c>
      <c r="AS10" s="503" t="s">
        <v>704</v>
      </c>
      <c r="AT10" s="488">
        <v>15.78</v>
      </c>
      <c r="AU10" s="503" t="s">
        <v>704</v>
      </c>
      <c r="AV10" s="488">
        <v>20.387</v>
      </c>
      <c r="AW10" s="503" t="s">
        <v>704</v>
      </c>
      <c r="AY10" s="690"/>
      <c r="AZ10" s="558">
        <v>3</v>
      </c>
      <c r="BA10" s="691" t="s">
        <v>668</v>
      </c>
      <c r="BB10" s="56" t="s">
        <v>424</v>
      </c>
      <c r="BC10" s="692" t="s">
        <v>428</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ok</v>
      </c>
      <c r="BX10" s="54"/>
      <c r="BY10" s="54" t="str">
        <f t="shared" si="8"/>
        <v>ok</v>
      </c>
      <c r="BZ10" s="54"/>
      <c r="CA10" s="54" t="str">
        <f t="shared" si="9"/>
        <v>ok</v>
      </c>
      <c r="CB10" s="54"/>
      <c r="CC10" s="54" t="str">
        <f t="shared" si="10"/>
        <v>ok</v>
      </c>
      <c r="CD10" s="54"/>
      <c r="CE10" s="54" t="str">
        <f t="shared" si="11"/>
        <v>ok</v>
      </c>
      <c r="CF10" s="54"/>
      <c r="CG10" s="54" t="str">
        <f t="shared" si="12"/>
        <v>ok</v>
      </c>
      <c r="CH10" s="54"/>
      <c r="CI10" s="54" t="str">
        <f t="shared" si="13"/>
        <v>ok</v>
      </c>
      <c r="CJ10" s="54"/>
      <c r="CK10" s="54" t="str">
        <f t="shared" si="14"/>
        <v>ok</v>
      </c>
      <c r="CL10" s="54"/>
      <c r="CM10" s="54" t="str">
        <f t="shared" si="15"/>
        <v>ok</v>
      </c>
      <c r="CN10" s="54"/>
      <c r="CO10" s="54" t="str">
        <f t="shared" si="16"/>
        <v>ok</v>
      </c>
      <c r="CP10" s="54"/>
      <c r="CQ10" s="54" t="str">
        <f t="shared" si="17"/>
        <v>ok</v>
      </c>
      <c r="CR10" s="54"/>
      <c r="CS10" s="54" t="str">
        <f t="shared" si="18"/>
        <v>&gt; 25%</v>
      </c>
      <c r="CT10" s="54"/>
    </row>
    <row r="11" spans="1:98" s="183" customFormat="1" ht="14.25" customHeight="1">
      <c r="A11" s="178"/>
      <c r="B11" s="317">
        <v>30</v>
      </c>
      <c r="C11" s="207">
        <v>4</v>
      </c>
      <c r="D11" s="318" t="s">
        <v>619</v>
      </c>
      <c r="E11" s="210" t="s">
        <v>294</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669</v>
      </c>
      <c r="BB11" s="519" t="s">
        <v>424</v>
      </c>
      <c r="BC11" s="692" t="s">
        <v>428</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419</v>
      </c>
      <c r="B12" s="317">
        <v>31</v>
      </c>
      <c r="C12" s="189">
        <v>5</v>
      </c>
      <c r="D12" s="321" t="s">
        <v>658</v>
      </c>
      <c r="E12" s="210" t="s">
        <v>294</v>
      </c>
      <c r="F12" s="488"/>
      <c r="G12" s="503"/>
      <c r="H12" s="488"/>
      <c r="I12" s="503"/>
      <c r="J12" s="488"/>
      <c r="K12" s="503"/>
      <c r="L12" s="488"/>
      <c r="M12" s="503"/>
      <c r="N12" s="488"/>
      <c r="O12" s="503"/>
      <c r="P12" s="488"/>
      <c r="Q12" s="503"/>
      <c r="R12" s="488"/>
      <c r="S12" s="503"/>
      <c r="T12" s="488"/>
      <c r="U12" s="503"/>
      <c r="V12" s="488"/>
      <c r="W12" s="503"/>
      <c r="X12" s="488"/>
      <c r="Y12" s="503"/>
      <c r="Z12" s="488"/>
      <c r="AA12" s="503"/>
      <c r="AB12" s="488"/>
      <c r="AC12" s="503"/>
      <c r="AD12" s="488"/>
      <c r="AE12" s="503"/>
      <c r="AF12" s="488"/>
      <c r="AG12" s="503"/>
      <c r="AH12" s="488"/>
      <c r="AI12" s="503"/>
      <c r="AJ12" s="488"/>
      <c r="AK12" s="503"/>
      <c r="AL12" s="488"/>
      <c r="AM12" s="503"/>
      <c r="AN12" s="488"/>
      <c r="AO12" s="503"/>
      <c r="AP12" s="488"/>
      <c r="AQ12" s="503"/>
      <c r="AR12" s="488"/>
      <c r="AS12" s="503"/>
      <c r="AT12" s="488"/>
      <c r="AU12" s="503"/>
      <c r="AV12" s="488"/>
      <c r="AW12" s="503"/>
      <c r="AY12" s="690"/>
      <c r="AZ12" s="558">
        <v>5</v>
      </c>
      <c r="BA12" s="694" t="s">
        <v>670</v>
      </c>
      <c r="BB12" s="519" t="s">
        <v>424</v>
      </c>
      <c r="BC12" s="692" t="s">
        <v>428</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N/A</v>
      </c>
      <c r="BR12" s="54"/>
      <c r="BS12" s="54" t="str">
        <f t="shared" si="5"/>
        <v>N/A</v>
      </c>
      <c r="BT12" s="54"/>
      <c r="BU12" s="54" t="str">
        <f t="shared" si="6"/>
        <v>N/A</v>
      </c>
      <c r="BV12" s="54"/>
      <c r="BW12" s="54" t="str">
        <f t="shared" si="7"/>
        <v>N/A</v>
      </c>
      <c r="BX12" s="54"/>
      <c r="BY12" s="54" t="str">
        <f t="shared" si="8"/>
        <v>N/A</v>
      </c>
      <c r="BZ12" s="54"/>
      <c r="CA12" s="54" t="str">
        <f t="shared" si="9"/>
        <v>N/A</v>
      </c>
      <c r="CB12" s="54"/>
      <c r="CC12" s="54" t="str">
        <f t="shared" si="10"/>
        <v>N/A</v>
      </c>
      <c r="CD12" s="54"/>
      <c r="CE12" s="54" t="str">
        <f t="shared" si="11"/>
        <v>N/A</v>
      </c>
      <c r="CF12" s="54"/>
      <c r="CG12" s="54" t="str">
        <f t="shared" si="12"/>
        <v>N/A</v>
      </c>
      <c r="CH12" s="54"/>
      <c r="CI12" s="54" t="str">
        <f t="shared" si="13"/>
        <v>N/A</v>
      </c>
      <c r="CJ12" s="54"/>
      <c r="CK12" s="54" t="str">
        <f t="shared" si="14"/>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300</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671</v>
      </c>
      <c r="BB13" s="56"/>
      <c r="BC13" s="54"/>
      <c r="BD13" s="195"/>
      <c r="BE13" s="54"/>
      <c r="BF13" s="195"/>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row>
    <row r="14" spans="1:98" s="169" customFormat="1" ht="14.25" customHeight="1">
      <c r="A14" s="166"/>
      <c r="B14" s="317">
        <v>255</v>
      </c>
      <c r="C14" s="207">
        <v>6</v>
      </c>
      <c r="D14" s="325" t="s">
        <v>313</v>
      </c>
      <c r="E14" s="210" t="s">
        <v>294</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92"/>
      <c r="AI14" s="507"/>
      <c r="AJ14" s="492"/>
      <c r="AK14" s="507"/>
      <c r="AL14" s="492"/>
      <c r="AM14" s="507"/>
      <c r="AN14" s="492"/>
      <c r="AO14" s="507"/>
      <c r="AP14" s="492"/>
      <c r="AQ14" s="507"/>
      <c r="AR14" s="492"/>
      <c r="AS14" s="507"/>
      <c r="AT14" s="492"/>
      <c r="AU14" s="507"/>
      <c r="AV14" s="492"/>
      <c r="AW14" s="507"/>
      <c r="AY14" s="681"/>
      <c r="AZ14" s="519">
        <v>6</v>
      </c>
      <c r="BA14" s="696" t="s">
        <v>672</v>
      </c>
      <c r="BB14" s="56" t="s">
        <v>424</v>
      </c>
      <c r="BC14" s="54" t="s">
        <v>428</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 t="shared" si="11"/>
        <v>N/A</v>
      </c>
      <c r="CF14" s="54"/>
      <c r="CG14" s="54" t="str">
        <f t="shared" si="12"/>
        <v>N/A</v>
      </c>
      <c r="CH14" s="54"/>
      <c r="CI14" s="54" t="str">
        <f t="shared" si="13"/>
        <v>N/A</v>
      </c>
      <c r="CJ14" s="54"/>
      <c r="CK14" s="54" t="str">
        <f t="shared" si="14"/>
        <v>N/A</v>
      </c>
      <c r="CL14" s="54"/>
      <c r="CM14" s="54" t="str">
        <f t="shared" si="15"/>
        <v>N/A</v>
      </c>
      <c r="CN14" s="54"/>
      <c r="CO14" s="54" t="str">
        <f t="shared" si="16"/>
        <v>N/A</v>
      </c>
      <c r="CP14" s="54"/>
      <c r="CQ14" s="54" t="str">
        <f t="shared" si="17"/>
        <v>N/A</v>
      </c>
      <c r="CR14" s="54"/>
      <c r="CS14" s="54" t="str">
        <f t="shared" si="18"/>
        <v>N/A</v>
      </c>
      <c r="CT14" s="54"/>
    </row>
    <row r="15" spans="1:98" s="169" customFormat="1" ht="14.25" customHeight="1">
      <c r="A15" s="166"/>
      <c r="B15" s="317">
        <v>256</v>
      </c>
      <c r="C15" s="207">
        <v>7</v>
      </c>
      <c r="D15" s="325" t="s">
        <v>301</v>
      </c>
      <c r="E15" s="210" t="s">
        <v>294</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673</v>
      </c>
      <c r="BB15" s="56" t="s">
        <v>424</v>
      </c>
      <c r="BC15" s="54" t="s">
        <v>428</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664</v>
      </c>
      <c r="E16" s="210" t="s">
        <v>294</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c r="AU16" s="507"/>
      <c r="AV16" s="492"/>
      <c r="AW16" s="507"/>
      <c r="AY16" s="681"/>
      <c r="AZ16" s="519">
        <v>8</v>
      </c>
      <c r="BA16" s="696" t="s">
        <v>435</v>
      </c>
      <c r="BB16" s="56" t="s">
        <v>424</v>
      </c>
      <c r="BC16" s="54" t="s">
        <v>428</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315</v>
      </c>
      <c r="E17" s="210" t="s">
        <v>294</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674</v>
      </c>
      <c r="BB17" s="56" t="s">
        <v>424</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663</v>
      </c>
      <c r="E18" s="210" t="s">
        <v>294</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c r="AU18" s="507"/>
      <c r="AV18" s="492"/>
      <c r="AW18" s="507"/>
      <c r="AY18" s="681"/>
      <c r="AZ18" s="519">
        <v>10</v>
      </c>
      <c r="BA18" s="696" t="s">
        <v>593</v>
      </c>
      <c r="BB18" s="56" t="s">
        <v>424</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331</v>
      </c>
      <c r="E19" s="210" t="s">
        <v>294</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368</v>
      </c>
      <c r="BB19" s="56" t="s">
        <v>424</v>
      </c>
      <c r="BC19" s="54" t="s">
        <v>428</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533</v>
      </c>
      <c r="E20" s="210" t="s">
        <v>294</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675</v>
      </c>
      <c r="BB20" s="56" t="s">
        <v>424</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534</v>
      </c>
      <c r="E21" s="210" t="s">
        <v>294</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676</v>
      </c>
      <c r="BB21" s="56" t="s">
        <v>424</v>
      </c>
      <c r="BC21" s="54" t="s">
        <v>428</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535</v>
      </c>
      <c r="E22" s="210" t="s">
        <v>294</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594</v>
      </c>
      <c r="BB22" s="56" t="s">
        <v>424</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302</v>
      </c>
      <c r="E23" s="210" t="s">
        <v>294</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c r="AS23" s="507"/>
      <c r="AT23" s="492"/>
      <c r="AU23" s="507"/>
      <c r="AV23" s="492"/>
      <c r="AW23" s="507"/>
      <c r="AY23" s="681"/>
      <c r="AZ23" s="519">
        <v>15</v>
      </c>
      <c r="BA23" s="696" t="s">
        <v>5</v>
      </c>
      <c r="BB23" s="56" t="s">
        <v>424</v>
      </c>
      <c r="BC23" s="692" t="s">
        <v>428</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N/A</v>
      </c>
      <c r="CR23" s="54"/>
      <c r="CS23" s="54" t="str">
        <f t="shared" si="18"/>
        <v>N/A</v>
      </c>
      <c r="CT23" s="54"/>
    </row>
    <row r="24" spans="1:98" s="169" customFormat="1" ht="14.25" customHeight="1">
      <c r="A24" s="166"/>
      <c r="B24" s="317">
        <v>69</v>
      </c>
      <c r="C24" s="207">
        <v>16</v>
      </c>
      <c r="D24" s="318" t="s">
        <v>240</v>
      </c>
      <c r="E24" s="210" t="s">
        <v>294</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677</v>
      </c>
      <c r="BB24" s="56" t="s">
        <v>424</v>
      </c>
      <c r="BC24" s="54" t="s">
        <v>428</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242</v>
      </c>
      <c r="E25" s="210" t="s">
        <v>294</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678</v>
      </c>
      <c r="BB25" s="56" t="s">
        <v>424</v>
      </c>
      <c r="BC25" s="54" t="s">
        <v>428</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450</v>
      </c>
      <c r="E26" s="210" t="s">
        <v>294</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492"/>
      <c r="AH26" s="492"/>
      <c r="AI26" s="492"/>
      <c r="AJ26" s="492"/>
      <c r="AK26" s="492"/>
      <c r="AL26" s="492"/>
      <c r="AM26" s="492"/>
      <c r="AN26" s="492"/>
      <c r="AO26" s="507"/>
      <c r="AP26" s="492"/>
      <c r="AQ26" s="507"/>
      <c r="AR26" s="492"/>
      <c r="AS26" s="507"/>
      <c r="AT26" s="492"/>
      <c r="AU26" s="507"/>
      <c r="AV26" s="492"/>
      <c r="AW26" s="507"/>
      <c r="AY26" s="681"/>
      <c r="AZ26" s="519">
        <v>18</v>
      </c>
      <c r="BA26" s="255" t="s">
        <v>679</v>
      </c>
      <c r="BB26" s="56" t="s">
        <v>424</v>
      </c>
      <c r="BC26" s="54" t="s">
        <v>428</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aca="true" t="shared" si="21" ref="BU26:BU31">IF(OR(ISBLANK(V26),ISBLANK(X28)),"N/A",IF(ABS((X28-V26)/V26)&gt;0.25,"&gt; 25%","ok"))</f>
        <v>N/A</v>
      </c>
      <c r="BV26" s="54"/>
      <c r="BW26" s="54" t="str">
        <f aca="true" t="shared" si="22" ref="BW26:BW31">IF(OR(ISBLANK(X28),ISBLANK(Z28)),"N/A",IF(ABS((Z28-X28)/X28)&gt;0.25,"&gt; 25%","ok"))</f>
        <v>ok</v>
      </c>
      <c r="BX26" s="54"/>
      <c r="BY26" s="54" t="str">
        <f aca="true" t="shared" si="23" ref="BY26:BY31">IF(OR(ISBLANK(Z28),ISBLANK(AB28)),"N/A",IF(ABS((AB28-Z28)/Z28)&gt;0.25,"&gt; 25%","ok"))</f>
        <v>ok</v>
      </c>
      <c r="BZ26" s="54"/>
      <c r="CA26" s="54" t="str">
        <f aca="true" t="shared" si="24" ref="CA26:CA31">IF(OR(ISBLANK(AB28),ISBLANK(AD28)),"N/A",IF(ABS((AD28-AB28)/AB28)&gt;0.25,"&gt; 25%","ok"))</f>
        <v>ok</v>
      </c>
      <c r="CB26" s="54"/>
      <c r="CC26" s="54" t="str">
        <f aca="true" t="shared" si="25" ref="CC26:CC31">IF(OR(ISBLANK(AD28),ISBLANK(AF28)),"N/A",IF(ABS((AF28-AD28)/AD28)&gt;0.25,"&gt; 25%","ok"))</f>
        <v>ok</v>
      </c>
      <c r="CD26" s="54"/>
      <c r="CE26" s="54" t="str">
        <f aca="true" t="shared" si="26" ref="CE26:CE31">IF(OR(ISBLANK(AF28),ISBLANK(AH28)),"N/A",IF(ABS((AH28-AF28)/AF28)&gt;0.25,"&gt; 25%","ok"))</f>
        <v>ok</v>
      </c>
      <c r="CF26" s="54"/>
      <c r="CG26" s="54" t="str">
        <f aca="true" t="shared" si="27" ref="CG26:CG31">IF(OR(ISBLANK(AH28),ISBLANK(AJ28)),"N/A",IF(ABS((AJ28-AH28)/AH28)&gt;0.25,"&gt; 25%","ok"))</f>
        <v>ok</v>
      </c>
      <c r="CH26" s="54"/>
      <c r="CI26" s="54" t="str">
        <f aca="true" t="shared" si="28" ref="CI26:CI31">IF(OR(ISBLANK(AJ28),ISBLANK(AL28)),"N/A",IF(ABS((AL28-AJ28)/AJ28)&gt;0.25,"&gt; 25%","ok"))</f>
        <v>ok</v>
      </c>
      <c r="CJ26" s="54"/>
      <c r="CK26" s="54" t="str">
        <f aca="true" t="shared" si="29" ref="CK26:CK31">IF(OR(ISBLANK(AL28),ISBLANK(AN28)),"N/A",IF(ABS((AN28-AL28)/AL28)&gt;0.25,"&gt; 25%","ok"))</f>
        <v>ok</v>
      </c>
      <c r="CL26" s="54"/>
      <c r="CM26" s="54" t="str">
        <f aca="true" t="shared" si="30" ref="CM26:CM31">IF(OR(ISBLANK(AN28),ISBLANK(AP26)),"N/A",IF(ABS((AP26-AN28)/AN28)&gt;0.25,"&gt; 25%","ok"))</f>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245</v>
      </c>
      <c r="E27" s="210" t="s">
        <v>294</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680</v>
      </c>
      <c r="BB27" s="56" t="s">
        <v>424</v>
      </c>
      <c r="BC27" s="54" t="s">
        <v>428</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21"/>
        <v>N/A</v>
      </c>
      <c r="BV27" s="54"/>
      <c r="BW27" s="54" t="str">
        <f t="shared" si="22"/>
        <v>ok</v>
      </c>
      <c r="BX27" s="54"/>
      <c r="BY27" s="54" t="str">
        <f t="shared" si="23"/>
        <v>ok</v>
      </c>
      <c r="BZ27" s="54"/>
      <c r="CA27" s="54" t="str">
        <f t="shared" si="24"/>
        <v>ok</v>
      </c>
      <c r="CB27" s="54"/>
      <c r="CC27" s="54" t="str">
        <f t="shared" si="25"/>
        <v>ok</v>
      </c>
      <c r="CD27" s="54"/>
      <c r="CE27" s="54" t="str">
        <f t="shared" si="26"/>
        <v>ok</v>
      </c>
      <c r="CF27" s="54"/>
      <c r="CG27" s="54" t="str">
        <f t="shared" si="27"/>
        <v>&gt; 25%</v>
      </c>
      <c r="CH27" s="54"/>
      <c r="CI27" s="54" t="str">
        <f t="shared" si="28"/>
        <v>ok</v>
      </c>
      <c r="CJ27" s="54"/>
      <c r="CK27" s="54" t="str">
        <f t="shared" si="29"/>
        <v>ok</v>
      </c>
      <c r="CL27" s="54"/>
      <c r="CM27" s="54" t="str">
        <f t="shared" si="30"/>
        <v>N/A</v>
      </c>
      <c r="CN27" s="54"/>
      <c r="CO27" s="54" t="str">
        <f t="shared" si="16"/>
        <v>N/A</v>
      </c>
      <c r="CP27" s="54"/>
      <c r="CQ27" s="54" t="str">
        <f t="shared" si="17"/>
        <v>N/A</v>
      </c>
      <c r="CR27" s="54"/>
      <c r="CS27" s="54" t="str">
        <f t="shared" si="18"/>
        <v>N/A</v>
      </c>
      <c r="CT27" s="54"/>
    </row>
    <row r="28" spans="1:98" s="329" customFormat="1" ht="25.5" customHeight="1">
      <c r="A28" s="327" t="s">
        <v>419</v>
      </c>
      <c r="B28" s="677">
        <v>79</v>
      </c>
      <c r="C28" s="328">
        <v>20</v>
      </c>
      <c r="D28" s="321" t="s">
        <v>659</v>
      </c>
      <c r="E28" s="210" t="s">
        <v>294</v>
      </c>
      <c r="F28" s="492"/>
      <c r="G28" s="507"/>
      <c r="H28" s="492"/>
      <c r="I28" s="507"/>
      <c r="J28" s="492"/>
      <c r="K28" s="507"/>
      <c r="L28" s="492"/>
      <c r="M28" s="507"/>
      <c r="N28" s="492"/>
      <c r="O28" s="507"/>
      <c r="P28" s="492"/>
      <c r="Q28" s="507"/>
      <c r="R28" s="492"/>
      <c r="S28" s="507"/>
      <c r="T28" s="492"/>
      <c r="U28" s="507"/>
      <c r="V28" s="492"/>
      <c r="W28" s="507"/>
      <c r="X28" s="492">
        <v>16.609487533569336</v>
      </c>
      <c r="Y28" s="507" t="s">
        <v>704</v>
      </c>
      <c r="Z28" s="492">
        <v>16.39779281616211</v>
      </c>
      <c r="AA28" s="507" t="s">
        <v>704</v>
      </c>
      <c r="AB28" s="492">
        <v>15.416619300842285</v>
      </c>
      <c r="AC28" s="507" t="s">
        <v>704</v>
      </c>
      <c r="AD28" s="492">
        <v>15.829466819763184</v>
      </c>
      <c r="AE28" s="507" t="s">
        <v>704</v>
      </c>
      <c r="AF28" s="492">
        <v>16.044193267822266</v>
      </c>
      <c r="AG28" s="507" t="s">
        <v>704</v>
      </c>
      <c r="AH28" s="492">
        <v>16.587621688842773</v>
      </c>
      <c r="AI28" s="507" t="s">
        <v>704</v>
      </c>
      <c r="AJ28" s="492">
        <v>17.151851654052734</v>
      </c>
      <c r="AK28" s="507" t="s">
        <v>704</v>
      </c>
      <c r="AL28" s="492">
        <v>15.445691108703613</v>
      </c>
      <c r="AM28" s="507" t="s">
        <v>704</v>
      </c>
      <c r="AN28" s="492">
        <v>15.669940948486328</v>
      </c>
      <c r="AO28" s="507" t="s">
        <v>704</v>
      </c>
      <c r="AP28" s="488">
        <v>17.01</v>
      </c>
      <c r="AQ28" s="503" t="s">
        <v>704</v>
      </c>
      <c r="AR28" s="488">
        <v>17.58</v>
      </c>
      <c r="AS28" s="503" t="s">
        <v>704</v>
      </c>
      <c r="AT28" s="488">
        <v>15.78</v>
      </c>
      <c r="AU28" s="503" t="s">
        <v>704</v>
      </c>
      <c r="AV28" s="492">
        <v>20.387</v>
      </c>
      <c r="AW28" s="503" t="s">
        <v>704</v>
      </c>
      <c r="AY28" s="663"/>
      <c r="AZ28" s="558">
        <v>20</v>
      </c>
      <c r="BA28" s="691" t="s">
        <v>681</v>
      </c>
      <c r="BB28" s="56" t="s">
        <v>424</v>
      </c>
      <c r="BC28" s="54" t="s">
        <v>428</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21"/>
        <v>N/A</v>
      </c>
      <c r="BV28" s="54"/>
      <c r="BW28" s="54" t="str">
        <f t="shared" si="22"/>
        <v>ok</v>
      </c>
      <c r="BX28" s="54"/>
      <c r="BY28" s="54" t="str">
        <f t="shared" si="23"/>
        <v>ok</v>
      </c>
      <c r="BZ28" s="54"/>
      <c r="CA28" s="54" t="str">
        <f t="shared" si="24"/>
        <v>ok</v>
      </c>
      <c r="CB28" s="54"/>
      <c r="CC28" s="54" t="str">
        <f t="shared" si="25"/>
        <v>ok</v>
      </c>
      <c r="CD28" s="54"/>
      <c r="CE28" s="54" t="str">
        <f t="shared" si="26"/>
        <v>ok</v>
      </c>
      <c r="CF28" s="54"/>
      <c r="CG28" s="54" t="str">
        <f t="shared" si="27"/>
        <v>ok</v>
      </c>
      <c r="CH28" s="54"/>
      <c r="CI28" s="54" t="str">
        <f t="shared" si="28"/>
        <v>ok</v>
      </c>
      <c r="CJ28" s="54"/>
      <c r="CK28" s="54" t="str">
        <f t="shared" si="29"/>
        <v>ok</v>
      </c>
      <c r="CL28" s="54"/>
      <c r="CM28" s="54" t="str">
        <f t="shared" si="30"/>
        <v>&gt; 25%</v>
      </c>
      <c r="CN28" s="54"/>
      <c r="CO28" s="54" t="str">
        <f t="shared" si="16"/>
        <v>ok</v>
      </c>
      <c r="CP28" s="54"/>
      <c r="CQ28" s="54" t="str">
        <f t="shared" si="17"/>
        <v>ok</v>
      </c>
      <c r="CR28" s="54"/>
      <c r="CS28" s="54" t="str">
        <f t="shared" si="18"/>
        <v>&gt; 25%</v>
      </c>
      <c r="CT28" s="692"/>
    </row>
    <row r="29" spans="1:98" s="329" customFormat="1" ht="14.25" customHeight="1">
      <c r="A29" s="330"/>
      <c r="B29" s="677">
        <v>34</v>
      </c>
      <c r="C29" s="328">
        <v>21</v>
      </c>
      <c r="D29" s="321" t="s">
        <v>248</v>
      </c>
      <c r="E29" s="210" t="s">
        <v>294</v>
      </c>
      <c r="F29" s="492"/>
      <c r="G29" s="507"/>
      <c r="H29" s="492"/>
      <c r="I29" s="507"/>
      <c r="J29" s="492"/>
      <c r="K29" s="507"/>
      <c r="L29" s="492"/>
      <c r="M29" s="507"/>
      <c r="N29" s="492"/>
      <c r="O29" s="507"/>
      <c r="P29" s="492"/>
      <c r="Q29" s="507"/>
      <c r="R29" s="492"/>
      <c r="S29" s="507"/>
      <c r="T29" s="492"/>
      <c r="U29" s="507"/>
      <c r="V29" s="492"/>
      <c r="W29" s="507"/>
      <c r="X29" s="492">
        <v>3.8206629753112793</v>
      </c>
      <c r="Y29" s="507" t="s">
        <v>705</v>
      </c>
      <c r="Z29" s="492">
        <v>4.22459077835083</v>
      </c>
      <c r="AA29" s="507" t="s">
        <v>705</v>
      </c>
      <c r="AB29" s="492">
        <v>3.4423749446868896</v>
      </c>
      <c r="AC29" s="507" t="s">
        <v>705</v>
      </c>
      <c r="AD29" s="492">
        <v>4.0938801765441895</v>
      </c>
      <c r="AE29" s="507" t="s">
        <v>705</v>
      </c>
      <c r="AF29" s="492">
        <v>4.270130157470703</v>
      </c>
      <c r="AG29" s="507" t="s">
        <v>705</v>
      </c>
      <c r="AH29" s="492">
        <v>4.823134899139404</v>
      </c>
      <c r="AI29" s="507" t="s">
        <v>705</v>
      </c>
      <c r="AJ29" s="492">
        <v>6.5229997634887695</v>
      </c>
      <c r="AK29" s="507" t="s">
        <v>705</v>
      </c>
      <c r="AL29" s="492">
        <v>4.956999778747559</v>
      </c>
      <c r="AM29" s="507" t="s">
        <v>705</v>
      </c>
      <c r="AN29" s="492">
        <v>4.876999855041504</v>
      </c>
      <c r="AO29" s="507" t="s">
        <v>705</v>
      </c>
      <c r="AP29" s="492">
        <f>AP28-AP30</f>
        <v>5.800000000000001</v>
      </c>
      <c r="AQ29" s="507" t="s">
        <v>705</v>
      </c>
      <c r="AR29" s="492">
        <f>AR28-AR30</f>
        <v>6.709999999999999</v>
      </c>
      <c r="AS29" s="507" t="s">
        <v>705</v>
      </c>
      <c r="AT29" s="492">
        <f>AT28-AT30</f>
        <v>4.4399999999999995</v>
      </c>
      <c r="AU29" s="507" t="s">
        <v>705</v>
      </c>
      <c r="AV29" s="492">
        <f>AV28-AV30</f>
        <v>8.847000000000001</v>
      </c>
      <c r="AW29" s="507" t="s">
        <v>705</v>
      </c>
      <c r="AY29" s="663"/>
      <c r="AZ29" s="558">
        <v>21</v>
      </c>
      <c r="BA29" s="691" t="s">
        <v>682</v>
      </c>
      <c r="BB29" s="56" t="s">
        <v>424</v>
      </c>
      <c r="BC29" s="54" t="s">
        <v>428</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21"/>
        <v>N/A</v>
      </c>
      <c r="BV29" s="54"/>
      <c r="BW29" s="54" t="str">
        <f t="shared" si="22"/>
        <v>N/A</v>
      </c>
      <c r="BX29" s="54"/>
      <c r="BY29" s="54" t="str">
        <f t="shared" si="23"/>
        <v>N/A</v>
      </c>
      <c r="BZ29" s="54"/>
      <c r="CA29" s="54" t="str">
        <f t="shared" si="24"/>
        <v>N/A</v>
      </c>
      <c r="CB29" s="54"/>
      <c r="CC29" s="54" t="str">
        <f t="shared" si="25"/>
        <v>N/A</v>
      </c>
      <c r="CD29" s="54"/>
      <c r="CE29" s="54" t="str">
        <f t="shared" si="26"/>
        <v>N/A</v>
      </c>
      <c r="CF29" s="54"/>
      <c r="CG29" s="54" t="str">
        <f t="shared" si="27"/>
        <v>N/A</v>
      </c>
      <c r="CH29" s="54"/>
      <c r="CI29" s="54" t="str">
        <f t="shared" si="28"/>
        <v>N/A</v>
      </c>
      <c r="CJ29" s="54"/>
      <c r="CK29" s="54" t="str">
        <f t="shared" si="29"/>
        <v>N/A</v>
      </c>
      <c r="CL29" s="54"/>
      <c r="CM29" s="54" t="str">
        <f t="shared" si="30"/>
        <v>N/A</v>
      </c>
      <c r="CN29" s="54"/>
      <c r="CO29" s="54" t="str">
        <f t="shared" si="16"/>
        <v>ok</v>
      </c>
      <c r="CP29" s="54"/>
      <c r="CQ29" s="54" t="str">
        <f t="shared" si="17"/>
        <v>&gt; 25%</v>
      </c>
      <c r="CR29" s="54"/>
      <c r="CS29" s="54" t="str">
        <f t="shared" si="18"/>
        <v>&gt; 25%</v>
      </c>
      <c r="CT29" s="692"/>
    </row>
    <row r="30" spans="1:98" s="329" customFormat="1" ht="15" customHeight="1">
      <c r="A30" s="330" t="s">
        <v>419</v>
      </c>
      <c r="B30" s="677">
        <v>35</v>
      </c>
      <c r="C30" s="328">
        <v>22</v>
      </c>
      <c r="D30" s="321" t="s">
        <v>660</v>
      </c>
      <c r="E30" s="210" t="s">
        <v>294</v>
      </c>
      <c r="F30" s="492"/>
      <c r="G30" s="507"/>
      <c r="H30" s="492"/>
      <c r="I30" s="507"/>
      <c r="J30" s="492"/>
      <c r="K30" s="507"/>
      <c r="L30" s="492"/>
      <c r="M30" s="507"/>
      <c r="N30" s="492"/>
      <c r="O30" s="507"/>
      <c r="P30" s="492"/>
      <c r="Q30" s="507"/>
      <c r="R30" s="492"/>
      <c r="S30" s="507"/>
      <c r="T30" s="492"/>
      <c r="U30" s="507"/>
      <c r="V30" s="492"/>
      <c r="W30" s="507"/>
      <c r="X30" s="492">
        <v>12.788825035095215</v>
      </c>
      <c r="Y30" s="507" t="s">
        <v>706</v>
      </c>
      <c r="Z30" s="492">
        <v>12.173202514648438</v>
      </c>
      <c r="AA30" s="507" t="s">
        <v>706</v>
      </c>
      <c r="AB30" s="492">
        <v>11.974244117736816</v>
      </c>
      <c r="AC30" s="507" t="s">
        <v>706</v>
      </c>
      <c r="AD30" s="492">
        <v>11.735587120056152</v>
      </c>
      <c r="AE30" s="507" t="s">
        <v>706</v>
      </c>
      <c r="AF30" s="492">
        <v>11.774064064025879</v>
      </c>
      <c r="AG30" s="507" t="s">
        <v>706</v>
      </c>
      <c r="AH30" s="492">
        <v>11.764487266540527</v>
      </c>
      <c r="AI30" s="507" t="s">
        <v>706</v>
      </c>
      <c r="AJ30" s="492">
        <v>10.62909984588623</v>
      </c>
      <c r="AK30" s="507" t="s">
        <v>706</v>
      </c>
      <c r="AL30" s="492">
        <v>10.48859977722168</v>
      </c>
      <c r="AM30" s="507" t="s">
        <v>706</v>
      </c>
      <c r="AN30" s="492">
        <v>10.792799949645996</v>
      </c>
      <c r="AO30" s="507" t="s">
        <v>706</v>
      </c>
      <c r="AP30" s="492">
        <v>11.21</v>
      </c>
      <c r="AQ30" s="507" t="s">
        <v>706</v>
      </c>
      <c r="AR30" s="492">
        <v>10.87</v>
      </c>
      <c r="AS30" s="507" t="s">
        <v>706</v>
      </c>
      <c r="AT30" s="492">
        <v>11.34</v>
      </c>
      <c r="AU30" s="507" t="s">
        <v>706</v>
      </c>
      <c r="AV30" s="492">
        <v>11.54</v>
      </c>
      <c r="AW30" s="507" t="s">
        <v>706</v>
      </c>
      <c r="AY30" s="663"/>
      <c r="AZ30" s="558">
        <v>22</v>
      </c>
      <c r="BA30" s="691" t="s">
        <v>683</v>
      </c>
      <c r="BB30" s="56" t="s">
        <v>424</v>
      </c>
      <c r="BC30" s="692" t="s">
        <v>428</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21"/>
        <v>N/A</v>
      </c>
      <c r="BV30" s="54"/>
      <c r="BW30" s="54" t="str">
        <f t="shared" si="22"/>
        <v>ok</v>
      </c>
      <c r="BX30" s="54"/>
      <c r="BY30" s="54" t="str">
        <f t="shared" si="23"/>
        <v>ok</v>
      </c>
      <c r="BZ30" s="54"/>
      <c r="CA30" s="54" t="str">
        <f t="shared" si="24"/>
        <v>ok</v>
      </c>
      <c r="CB30" s="54"/>
      <c r="CC30" s="54" t="str">
        <f t="shared" si="25"/>
        <v>ok</v>
      </c>
      <c r="CD30" s="54"/>
      <c r="CE30" s="54" t="str">
        <f t="shared" si="26"/>
        <v>ok</v>
      </c>
      <c r="CF30" s="54"/>
      <c r="CG30" s="54" t="str">
        <f t="shared" si="27"/>
        <v>ok</v>
      </c>
      <c r="CH30" s="54"/>
      <c r="CI30" s="54" t="str">
        <f t="shared" si="28"/>
        <v>ok</v>
      </c>
      <c r="CJ30" s="54"/>
      <c r="CK30" s="54" t="str">
        <f t="shared" si="29"/>
        <v>ok</v>
      </c>
      <c r="CL30" s="54"/>
      <c r="CM30" s="54" t="str">
        <f t="shared" si="30"/>
        <v>&gt; 25%</v>
      </c>
      <c r="CN30" s="54"/>
      <c r="CO30" s="54" t="str">
        <f t="shared" si="16"/>
        <v>ok</v>
      </c>
      <c r="CP30" s="54"/>
      <c r="CQ30" s="54" t="str">
        <f t="shared" si="17"/>
        <v>ok</v>
      </c>
      <c r="CR30" s="54"/>
      <c r="CS30" s="54" t="str">
        <f t="shared" si="18"/>
        <v>ok</v>
      </c>
      <c r="CT30" s="692"/>
    </row>
    <row r="31" spans="1:98" s="169" customFormat="1" ht="14.25" customHeight="1">
      <c r="A31" s="166"/>
      <c r="B31" s="317">
        <v>5010</v>
      </c>
      <c r="C31" s="207"/>
      <c r="D31" s="518" t="s">
        <v>303</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684</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21"/>
        <v>N/A</v>
      </c>
      <c r="BV31" s="54"/>
      <c r="BW31" s="54" t="str">
        <f t="shared" si="22"/>
        <v>ok</v>
      </c>
      <c r="BX31" s="54"/>
      <c r="BY31" s="54" t="str">
        <f t="shared" si="23"/>
        <v>ok</v>
      </c>
      <c r="BZ31" s="54"/>
      <c r="CA31" s="54" t="str">
        <f t="shared" si="24"/>
        <v>ok</v>
      </c>
      <c r="CB31" s="54"/>
      <c r="CC31" s="54" t="str">
        <f t="shared" si="25"/>
        <v>ok</v>
      </c>
      <c r="CD31" s="54"/>
      <c r="CE31" s="54" t="str">
        <f t="shared" si="26"/>
        <v>ok</v>
      </c>
      <c r="CF31" s="54"/>
      <c r="CG31" s="54" t="str">
        <f t="shared" si="27"/>
        <v>ok</v>
      </c>
      <c r="CH31" s="54"/>
      <c r="CI31" s="54" t="str">
        <f t="shared" si="28"/>
        <v>ok</v>
      </c>
      <c r="CJ31" s="54"/>
      <c r="CK31" s="54" t="str">
        <f t="shared" si="29"/>
        <v>ok</v>
      </c>
      <c r="CL31" s="54"/>
      <c r="CM31" s="54" t="str">
        <f t="shared" si="30"/>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301</v>
      </c>
      <c r="E32" s="210" t="s">
        <v>294</v>
      </c>
      <c r="F32" s="492"/>
      <c r="G32" s="507"/>
      <c r="H32" s="492"/>
      <c r="I32" s="507"/>
      <c r="J32" s="492"/>
      <c r="K32" s="507"/>
      <c r="L32" s="492"/>
      <c r="M32" s="507"/>
      <c r="N32" s="492"/>
      <c r="O32" s="507"/>
      <c r="P32" s="492"/>
      <c r="Q32" s="507"/>
      <c r="R32" s="492"/>
      <c r="S32" s="507"/>
      <c r="T32" s="492"/>
      <c r="U32" s="507"/>
      <c r="V32" s="492"/>
      <c r="W32" s="507"/>
      <c r="X32" s="492">
        <v>7.552783012390137</v>
      </c>
      <c r="Y32" s="507" t="s">
        <v>707</v>
      </c>
      <c r="Z32" s="492">
        <v>7.172842979431152</v>
      </c>
      <c r="AA32" s="507" t="s">
        <v>707</v>
      </c>
      <c r="AB32" s="492">
        <v>6.806888103485107</v>
      </c>
      <c r="AC32" s="507" t="s">
        <v>707</v>
      </c>
      <c r="AD32" s="492">
        <v>6.590263843536377</v>
      </c>
      <c r="AE32" s="507" t="s">
        <v>707</v>
      </c>
      <c r="AF32" s="492">
        <v>6.502994060516357</v>
      </c>
      <c r="AG32" s="507" t="s">
        <v>707</v>
      </c>
      <c r="AH32" s="492">
        <v>6.3951520919799805</v>
      </c>
      <c r="AI32" s="507" t="s">
        <v>707</v>
      </c>
      <c r="AJ32" s="492">
        <v>5.615816116333008</v>
      </c>
      <c r="AK32" s="507" t="s">
        <v>707</v>
      </c>
      <c r="AL32" s="492">
        <v>5.967377185821533</v>
      </c>
      <c r="AM32" s="507" t="s">
        <v>707</v>
      </c>
      <c r="AN32" s="492">
        <v>6.0101728439331055</v>
      </c>
      <c r="AO32" s="507" t="s">
        <v>707</v>
      </c>
      <c r="AP32" s="492">
        <v>6.211</v>
      </c>
      <c r="AQ32" s="507" t="s">
        <v>707</v>
      </c>
      <c r="AR32" s="492">
        <v>6.298</v>
      </c>
      <c r="AS32" s="507" t="s">
        <v>707</v>
      </c>
      <c r="AT32" s="492">
        <v>6.384</v>
      </c>
      <c r="AU32" s="507" t="s">
        <v>707</v>
      </c>
      <c r="AV32" s="492">
        <v>6.226</v>
      </c>
      <c r="AW32" s="507" t="s">
        <v>707</v>
      </c>
      <c r="AY32" s="681"/>
      <c r="AZ32" s="699">
        <v>23</v>
      </c>
      <c r="BA32" s="255" t="s">
        <v>685</v>
      </c>
      <c r="BB32" s="56" t="s">
        <v>424</v>
      </c>
      <c r="BC32" s="54" t="s">
        <v>428</v>
      </c>
      <c r="BD32" s="195"/>
      <c r="BE32" s="54" t="str">
        <f aca="true" t="shared" si="3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IF(OR(ISBLANK(V32),ISBLANK(#REF!)),"N/A",IF(ABS((#REF!-V32)/V32)&gt;0.25,"&gt; 25%","ok"))</f>
        <v>N/A</v>
      </c>
      <c r="BV32" s="54"/>
      <c r="BW32" s="54" t="e">
        <f>IF(OR(ISBLANK(#REF!),ISBLANK(#REF!)),"N/A",IF(ABS((#REF!-#REF!)/#REF!)&gt;0.25,"&gt; 25%","ok"))</f>
        <v>#REF!</v>
      </c>
      <c r="BX32" s="54"/>
      <c r="BY32" s="54" t="e">
        <f>IF(OR(ISBLANK(#REF!),ISBLANK(#REF!)),"N/A",IF(ABS((#REF!-#REF!)/#REF!)&gt;0.25,"&gt; 25%","ok"))</f>
        <v>#REF!</v>
      </c>
      <c r="BZ32" s="54"/>
      <c r="CA32" s="54" t="e">
        <f>IF(OR(ISBLANK(#REF!),ISBLANK(#REF!)),"N/A",IF(ABS((#REF!-#REF!)/#REF!)&gt;0.25,"&gt; 25%","ok"))</f>
        <v>#REF!</v>
      </c>
      <c r="CB32" s="54"/>
      <c r="CC32" s="54" t="e">
        <f>IF(OR(ISBLANK(#REF!),ISBLANK(#REF!)),"N/A",IF(ABS((#REF!-#REF!)/#REF!)&gt;0.25,"&gt; 25%","ok"))</f>
        <v>#REF!</v>
      </c>
      <c r="CD32" s="54"/>
      <c r="CE32" s="54" t="e">
        <f>IF(OR(ISBLANK(#REF!),ISBLANK(#REF!)),"N/A",IF(ABS((#REF!-#REF!)/#REF!)&gt;0.25,"&gt; 25%","ok"))</f>
        <v>#REF!</v>
      </c>
      <c r="CF32" s="54"/>
      <c r="CG32" s="54" t="e">
        <f>IF(OR(ISBLANK(#REF!),ISBLANK(#REF!)),"N/A",IF(ABS((#REF!-#REF!)/#REF!)&gt;0.25,"&gt; 25%","ok"))</f>
        <v>#REF!</v>
      </c>
      <c r="CH32" s="54"/>
      <c r="CI32" s="54" t="e">
        <f>IF(OR(ISBLANK(#REF!),ISBLANK(#REF!)),"N/A",IF(ABS((#REF!-#REF!)/#REF!)&gt;0.25,"&gt; 25%","ok"))</f>
        <v>#REF!</v>
      </c>
      <c r="CJ32" s="54"/>
      <c r="CK32" s="54" t="e">
        <f>IF(OR(ISBLANK(#REF!),ISBLANK(#REF!)),"N/A",IF(ABS((#REF!-#REF!)/#REF!)&gt;0.25,"&gt; 25%","ok"))</f>
        <v>#REF!</v>
      </c>
      <c r="CL32" s="54"/>
      <c r="CM32" s="54" t="e">
        <f>IF(OR(ISBLANK(#REF!),ISBLANK(AP32)),"N/A",IF(ABS((AP32-#REF!)/#REF!)&gt;0.25,"&gt; 25%","ok"))</f>
        <v>#REF!</v>
      </c>
      <c r="CN32" s="54"/>
      <c r="CO32" s="54" t="str">
        <f t="shared" si="16"/>
        <v>ok</v>
      </c>
      <c r="CP32" s="54"/>
      <c r="CQ32" s="54" t="str">
        <f t="shared" si="17"/>
        <v>ok</v>
      </c>
      <c r="CR32" s="54"/>
      <c r="CS32" s="54" t="str">
        <f t="shared" si="18"/>
        <v>ok</v>
      </c>
      <c r="CT32" s="54"/>
    </row>
    <row r="33" spans="1:98" s="169" customFormat="1" ht="25.5" customHeight="1">
      <c r="A33" s="166"/>
      <c r="B33" s="317">
        <v>280</v>
      </c>
      <c r="C33" s="332">
        <v>24</v>
      </c>
      <c r="D33" s="331" t="s">
        <v>664</v>
      </c>
      <c r="E33" s="210" t="s">
        <v>294</v>
      </c>
      <c r="F33" s="493"/>
      <c r="G33" s="504"/>
      <c r="H33" s="493"/>
      <c r="I33" s="504"/>
      <c r="J33" s="493"/>
      <c r="K33" s="504"/>
      <c r="L33" s="493"/>
      <c r="M33" s="504"/>
      <c r="N33" s="493"/>
      <c r="O33" s="504"/>
      <c r="P33" s="493"/>
      <c r="Q33" s="504"/>
      <c r="R33" s="493"/>
      <c r="S33" s="504"/>
      <c r="T33" s="493"/>
      <c r="U33" s="504"/>
      <c r="V33" s="493"/>
      <c r="W33" s="504"/>
      <c r="X33" s="492">
        <v>3.702739953994751</v>
      </c>
      <c r="Y33" s="507" t="s">
        <v>708</v>
      </c>
      <c r="Z33" s="492">
        <v>3.5799973011016846</v>
      </c>
      <c r="AA33" s="507" t="s">
        <v>708</v>
      </c>
      <c r="AB33" s="492">
        <v>3.4526240825653076</v>
      </c>
      <c r="AC33" s="507" t="s">
        <v>708</v>
      </c>
      <c r="AD33" s="492">
        <v>3.497697114944458</v>
      </c>
      <c r="AE33" s="507" t="s">
        <v>708</v>
      </c>
      <c r="AF33" s="492">
        <v>3.41871976852417</v>
      </c>
      <c r="AG33" s="507" t="s">
        <v>708</v>
      </c>
      <c r="AH33" s="492">
        <v>3.438901901245117</v>
      </c>
      <c r="AI33" s="507" t="s">
        <v>708</v>
      </c>
      <c r="AJ33" s="492">
        <v>3.2906930446624756</v>
      </c>
      <c r="AK33" s="507" t="s">
        <v>708</v>
      </c>
      <c r="AL33" s="492">
        <v>3.1257901191711426</v>
      </c>
      <c r="AM33" s="507" t="s">
        <v>708</v>
      </c>
      <c r="AN33" s="492">
        <v>3.0386180877685547</v>
      </c>
      <c r="AO33" s="507" t="s">
        <v>708</v>
      </c>
      <c r="AP33" s="493">
        <v>2.967</v>
      </c>
      <c r="AQ33" s="504" t="s">
        <v>708</v>
      </c>
      <c r="AR33" s="493">
        <v>2.943</v>
      </c>
      <c r="AS33" s="504" t="s">
        <v>708</v>
      </c>
      <c r="AT33" s="493">
        <v>3.116</v>
      </c>
      <c r="AU33" s="504" t="s">
        <v>708</v>
      </c>
      <c r="AV33" s="493">
        <v>3.536</v>
      </c>
      <c r="AW33" s="504" t="s">
        <v>708</v>
      </c>
      <c r="AY33" s="681"/>
      <c r="AZ33" s="699">
        <v>24</v>
      </c>
      <c r="BA33" s="255" t="s">
        <v>686</v>
      </c>
      <c r="BB33" s="56" t="s">
        <v>424</v>
      </c>
      <c r="BC33" s="54" t="s">
        <v>428</v>
      </c>
      <c r="BD33" s="200"/>
      <c r="BE33" s="54" t="str">
        <f t="shared" si="3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IF(OR(ISBLANK(V33),ISBLANK(#REF!)),"N/A",IF(ABS((#REF!-V33)/V33)&gt;0.25,"&gt; 25%","ok"))</f>
        <v>N/A</v>
      </c>
      <c r="BV33" s="54"/>
      <c r="BW33" s="54" t="e">
        <f>IF(OR(ISBLANK(#REF!),ISBLANK(#REF!)),"N/A",IF(ABS((#REF!-#REF!)/#REF!)&gt;0.25,"&gt; 25%","ok"))</f>
        <v>#REF!</v>
      </c>
      <c r="BX33" s="54"/>
      <c r="BY33" s="54" t="e">
        <f>IF(OR(ISBLANK(#REF!),ISBLANK(#REF!)),"N/A",IF(ABS((#REF!-#REF!)/#REF!)&gt;0.25,"&gt; 25%","ok"))</f>
        <v>#REF!</v>
      </c>
      <c r="BZ33" s="54"/>
      <c r="CA33" s="54" t="e">
        <f>IF(OR(ISBLANK(#REF!),ISBLANK(#REF!)),"N/A",IF(ABS((#REF!-#REF!)/#REF!)&gt;0.25,"&gt; 25%","ok"))</f>
        <v>#REF!</v>
      </c>
      <c r="CB33" s="54"/>
      <c r="CC33" s="54" t="e">
        <f>IF(OR(ISBLANK(#REF!),ISBLANK(#REF!)),"N/A",IF(ABS((#REF!-#REF!)/#REF!)&gt;0.25,"&gt; 25%","ok"))</f>
        <v>#REF!</v>
      </c>
      <c r="CD33" s="54"/>
      <c r="CE33" s="54" t="e">
        <f>IF(OR(ISBLANK(#REF!),ISBLANK(#REF!)),"N/A",IF(ABS((#REF!-#REF!)/#REF!)&gt;0.25,"&gt; 25%","ok"))</f>
        <v>#REF!</v>
      </c>
      <c r="CF33" s="54"/>
      <c r="CG33" s="54" t="e">
        <f>IF(OR(ISBLANK(#REF!),ISBLANK(#REF!)),"N/A",IF(ABS((#REF!-#REF!)/#REF!)&gt;0.25,"&gt; 25%","ok"))</f>
        <v>#REF!</v>
      </c>
      <c r="CH33" s="54"/>
      <c r="CI33" s="54" t="e">
        <f>IF(OR(ISBLANK(#REF!),ISBLANK(#REF!)),"N/A",IF(ABS((#REF!-#REF!)/#REF!)&gt;0.25,"&gt; 25%","ok"))</f>
        <v>#REF!</v>
      </c>
      <c r="CJ33" s="54"/>
      <c r="CK33" s="54" t="e">
        <f>IF(OR(ISBLANK(#REF!),ISBLANK(#REF!)),"N/A",IF(ABS((#REF!-#REF!)/#REF!)&gt;0.25,"&gt; 25%","ok"))</f>
        <v>#REF!</v>
      </c>
      <c r="CL33" s="54"/>
      <c r="CM33" s="54" t="e">
        <f>IF(OR(ISBLANK(#REF!),ISBLANK(AP33)),"N/A",IF(ABS((AP33-#REF!)/#REF!)&gt;0.25,"&gt; 25%","ok"))</f>
        <v>#REF!</v>
      </c>
      <c r="CN33" s="54"/>
      <c r="CO33" s="54" t="str">
        <f t="shared" si="16"/>
        <v>ok</v>
      </c>
      <c r="CP33" s="54"/>
      <c r="CQ33" s="54" t="str">
        <f t="shared" si="17"/>
        <v>ok</v>
      </c>
      <c r="CR33" s="54"/>
      <c r="CS33" s="54" t="str">
        <f t="shared" si="18"/>
        <v>ok</v>
      </c>
      <c r="CT33" s="54"/>
    </row>
    <row r="34" spans="1:98" s="169" customFormat="1" ht="14.25" customHeight="1">
      <c r="A34" s="166"/>
      <c r="B34" s="317">
        <v>281</v>
      </c>
      <c r="C34" s="332">
        <v>25</v>
      </c>
      <c r="D34" s="578" t="s">
        <v>589</v>
      </c>
      <c r="E34" s="210" t="s">
        <v>294</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687</v>
      </c>
      <c r="BB34" s="56" t="s">
        <v>424</v>
      </c>
      <c r="BC34" s="54"/>
      <c r="BD34" s="200"/>
      <c r="BE34" s="54" t="str">
        <f t="shared" si="3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663</v>
      </c>
      <c r="E35" s="210" t="s">
        <v>294</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688</v>
      </c>
      <c r="BB35" s="56" t="s">
        <v>424</v>
      </c>
      <c r="BC35" s="54"/>
      <c r="BD35" s="200"/>
      <c r="BE35" s="54" t="str">
        <f t="shared" si="3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590</v>
      </c>
      <c r="E36" s="210" t="s">
        <v>294</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689</v>
      </c>
      <c r="BB36" s="56" t="s">
        <v>424</v>
      </c>
      <c r="BC36" s="54" t="s">
        <v>428</v>
      </c>
      <c r="BD36" s="200"/>
      <c r="BE36" s="54" t="str">
        <f t="shared" si="3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533</v>
      </c>
      <c r="E37" s="210" t="s">
        <v>294</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690</v>
      </c>
      <c r="BB37" s="56" t="s">
        <v>424</v>
      </c>
      <c r="BC37" s="54"/>
      <c r="BD37" s="200"/>
      <c r="BE37" s="54" t="str">
        <f t="shared" si="3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534</v>
      </c>
      <c r="E38" s="210" t="s">
        <v>294</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691</v>
      </c>
      <c r="BB38" s="56" t="s">
        <v>424</v>
      </c>
      <c r="BC38" s="54" t="s">
        <v>428</v>
      </c>
      <c r="BD38" s="200"/>
      <c r="BE38" s="54" t="str">
        <f t="shared" si="3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535</v>
      </c>
      <c r="E39" s="210" t="s">
        <v>294</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594</v>
      </c>
      <c r="BB39" s="56" t="s">
        <v>424</v>
      </c>
      <c r="BC39" s="54"/>
      <c r="BD39" s="200"/>
      <c r="BE39" s="54" t="str">
        <f t="shared" si="3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591</v>
      </c>
      <c r="E40" s="218" t="s">
        <v>294</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692</v>
      </c>
      <c r="BB40" s="56" t="s">
        <v>424</v>
      </c>
      <c r="BC40" s="54" t="s">
        <v>428</v>
      </c>
      <c r="BD40" s="200"/>
      <c r="BE40" s="54" t="str">
        <f t="shared" si="3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512</v>
      </c>
      <c r="D41" s="223"/>
      <c r="E41" s="334"/>
      <c r="F41" s="335"/>
      <c r="AZ41" s="316" t="s">
        <v>693</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643</v>
      </c>
      <c r="D42" s="809" t="s">
        <v>642</v>
      </c>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Z42" s="181" t="s">
        <v>510</v>
      </c>
      <c r="BA42" s="181" t="s">
        <v>511</v>
      </c>
      <c r="BB42" s="181" t="s">
        <v>513</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440</v>
      </c>
      <c r="D43" s="809" t="s">
        <v>644</v>
      </c>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Z43" s="323"/>
      <c r="BA43" s="703" t="s">
        <v>694</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440</v>
      </c>
      <c r="D44" s="810" t="s">
        <v>179</v>
      </c>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0"/>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440</v>
      </c>
      <c r="D45" s="809" t="s">
        <v>469</v>
      </c>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c r="AT46" s="829"/>
      <c r="AU46" s="829"/>
      <c r="AV46" s="829"/>
      <c r="AW46" s="829"/>
      <c r="AX46" s="829"/>
      <c r="AY46" s="336"/>
      <c r="AZ46" s="556">
        <v>3</v>
      </c>
      <c r="BA46" s="705" t="s">
        <v>668</v>
      </c>
      <c r="BB46" s="66" t="s">
        <v>424</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16.609487533569336</v>
      </c>
      <c r="BV46" s="54"/>
      <c r="BW46" s="54">
        <f>Z10</f>
        <v>16.39779281616211</v>
      </c>
      <c r="BX46" s="54"/>
      <c r="BY46" s="54">
        <f>AB10</f>
        <v>15.416619300842285</v>
      </c>
      <c r="BZ46" s="54"/>
      <c r="CA46" s="54">
        <f>AD10</f>
        <v>15.829466819763184</v>
      </c>
      <c r="CB46" s="54"/>
      <c r="CC46" s="54">
        <f>AF10</f>
        <v>16.044193267822266</v>
      </c>
      <c r="CD46" s="54"/>
      <c r="CE46" s="54">
        <f>AH10</f>
        <v>16.587621688842773</v>
      </c>
      <c r="CF46" s="54"/>
      <c r="CG46" s="54">
        <f>AJ10</f>
        <v>17.151851654052734</v>
      </c>
      <c r="CH46" s="54"/>
      <c r="CI46" s="54">
        <f>AL10</f>
        <v>15.445691108703613</v>
      </c>
      <c r="CJ46" s="54"/>
      <c r="CK46" s="54">
        <f>AN10</f>
        <v>15.669940948486328</v>
      </c>
      <c r="CL46" s="54"/>
      <c r="CM46" s="54">
        <f>AP10</f>
        <v>17.01</v>
      </c>
      <c r="CN46" s="54"/>
      <c r="CO46" s="54">
        <f>AR10</f>
        <v>17.58</v>
      </c>
      <c r="CP46" s="54"/>
      <c r="CQ46" s="54">
        <f>AT10</f>
        <v>15.78</v>
      </c>
      <c r="CR46" s="54"/>
      <c r="CS46" s="54">
        <f>AV10</f>
        <v>20.387</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24"/>
      <c r="G47" s="824"/>
      <c r="H47" s="824"/>
      <c r="I47" s="824"/>
      <c r="J47" s="824"/>
      <c r="K47" s="824"/>
      <c r="L47" s="824"/>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695</v>
      </c>
      <c r="BB47" s="66" t="s">
        <v>424</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0</v>
      </c>
      <c r="CF47" s="57"/>
      <c r="CG47" s="57">
        <f>AJ8+AJ9</f>
        <v>0</v>
      </c>
      <c r="CH47" s="57"/>
      <c r="CI47" s="57">
        <f>AL8+AL9</f>
        <v>0</v>
      </c>
      <c r="CJ47" s="57"/>
      <c r="CK47" s="57">
        <f>AN8+AN9</f>
        <v>0</v>
      </c>
      <c r="CL47" s="57"/>
      <c r="CM47" s="57">
        <f>AP8+AP9</f>
        <v>0</v>
      </c>
      <c r="CN47" s="57"/>
      <c r="CO47" s="57">
        <f>AR8+AR9</f>
        <v>0</v>
      </c>
      <c r="CP47" s="57"/>
      <c r="CQ47" s="57">
        <f>AT8+AT9</f>
        <v>0</v>
      </c>
      <c r="CR47" s="57"/>
      <c r="CS47" s="57">
        <f>AV8+AV9</f>
        <v>0</v>
      </c>
      <c r="CT47" s="57"/>
    </row>
    <row r="48" spans="3:98" ht="19.5" customHeight="1">
      <c r="C48" s="559"/>
      <c r="D48" s="645"/>
      <c r="E48" s="645"/>
      <c r="F48" s="645"/>
      <c r="G48" s="645"/>
      <c r="H48" s="678"/>
      <c r="I48" s="678"/>
      <c r="J48" s="678"/>
      <c r="K48" s="678"/>
      <c r="L48" s="830" t="str">
        <f>D11&amp;" (W2,4)"</f>
        <v>Eaux restituées à l’environnement sans avoir été utilisées (W2,4)</v>
      </c>
      <c r="M48" s="831"/>
      <c r="N48" s="831"/>
      <c r="O48" s="833"/>
      <c r="P48" s="834"/>
      <c r="Q48" s="835"/>
      <c r="R48" s="836"/>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441</v>
      </c>
      <c r="BA48" s="707" t="s">
        <v>696</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N/A</v>
      </c>
      <c r="CF48" s="54"/>
      <c r="CG48" s="54" t="str">
        <f>IF(OR(ISBLANK(AJ8),ISBLANK(AJ9),ISBLANK(AJ10)),"N/A",IF((CG46=CG47),"ok","&lt;&gt;"))</f>
        <v>N/A</v>
      </c>
      <c r="CH48" s="54"/>
      <c r="CI48" s="54" t="str">
        <f>IF(OR(ISBLANK(AL8),ISBLANK(AL9),ISBLANK(AL10)),"N/A",IF((CI46=CI47),"ok","&lt;&gt;"))</f>
        <v>N/A</v>
      </c>
      <c r="CJ48" s="54"/>
      <c r="CK48" s="54" t="str">
        <f>IF(OR(ISBLANK(AN8),ISBLANK(AN9),ISBLANK(AN10)),"N/A",IF((CK46=CK47),"ok","&lt;&gt;"))</f>
        <v>N/A</v>
      </c>
      <c r="CL48" s="54"/>
      <c r="CM48" s="54" t="str">
        <f>IF(OR(ISBLANK(AP8),ISBLANK(AP9),ISBLANK(AP10)),"N/A",IF((CM46=CM47),"ok","&lt;&gt;"))</f>
        <v>N/A</v>
      </c>
      <c r="CN48" s="54"/>
      <c r="CO48" s="54" t="str">
        <f>IF(OR(ISBLANK(AR8),ISBLANK(AR9),ISBLANK(AR10)),"N/A",IF((CO46=CO47),"ok","&lt;&gt;"))</f>
        <v>N/A</v>
      </c>
      <c r="CP48" s="54"/>
      <c r="CQ48" s="54" t="str">
        <f>IF(OR(ISBLANK(AT8),ISBLANK(AT9),ISBLANK(AT10)),"N/A",IF((CQ46=CQ47),"ok","&lt;&gt;"))</f>
        <v>N/A</v>
      </c>
      <c r="CR48" s="54"/>
      <c r="CS48" s="54" t="str">
        <f>IF(OR(ISBLANK(AV8),ISBLANK(AV9),ISBLANK(AV10)),"N/A",IF((CS46=CS47),"ok","&lt;&gt;"))</f>
        <v>N/A</v>
      </c>
      <c r="CT48" s="54"/>
    </row>
    <row r="49" spans="3:98" ht="37.5" customHeight="1">
      <c r="C49" s="559"/>
      <c r="D49" s="646"/>
      <c r="E49" s="830" t="str">
        <f>LEFT(D12,LEN(D12)-7)&amp;" (W2,5)"</f>
        <v>Volume net d’eau douce prélevé (W2,5)</v>
      </c>
      <c r="F49" s="831"/>
      <c r="G49" s="831"/>
      <c r="H49" s="855"/>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11"/>
      <c r="AL49" s="811"/>
      <c r="AM49" s="811"/>
      <c r="AN49" s="480"/>
      <c r="AO49" s="480"/>
      <c r="AP49" s="480"/>
      <c r="AQ49" s="537"/>
      <c r="AR49" s="537"/>
      <c r="AS49" s="537"/>
      <c r="AT49" s="537"/>
      <c r="AU49" s="537"/>
      <c r="AV49" s="537"/>
      <c r="AW49" s="537"/>
      <c r="AX49" s="538"/>
      <c r="AY49" s="336"/>
      <c r="AZ49" s="558">
        <v>20</v>
      </c>
      <c r="BA49" s="709" t="s">
        <v>681</v>
      </c>
      <c r="BB49" s="66" t="s">
        <v>424</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X30</f>
        <v>12.788825035095215</v>
      </c>
      <c r="BV49" s="57"/>
      <c r="BW49" s="57">
        <f>Z30</f>
        <v>12.173202514648438</v>
      </c>
      <c r="BX49" s="57"/>
      <c r="BY49" s="57">
        <f>AB30</f>
        <v>11.974244117736816</v>
      </c>
      <c r="BZ49" s="57"/>
      <c r="CA49" s="57">
        <f>AD30</f>
        <v>11.735587120056152</v>
      </c>
      <c r="CB49" s="57"/>
      <c r="CC49" s="57">
        <f>AF30</f>
        <v>11.774064064025879</v>
      </c>
      <c r="CD49" s="57"/>
      <c r="CE49" s="57">
        <f>AH30</f>
        <v>11.764487266540527</v>
      </c>
      <c r="CF49" s="57"/>
      <c r="CG49" s="57">
        <f>AJ30</f>
        <v>10.62909984588623</v>
      </c>
      <c r="CH49" s="57"/>
      <c r="CI49" s="57">
        <f>AL30</f>
        <v>10.48859977722168</v>
      </c>
      <c r="CJ49" s="57"/>
      <c r="CK49" s="57">
        <f>AN30</f>
        <v>10.792799949645996</v>
      </c>
      <c r="CL49" s="57"/>
      <c r="CM49" s="57">
        <f>AP28</f>
        <v>17.01</v>
      </c>
      <c r="CN49" s="57"/>
      <c r="CO49" s="57">
        <f>AR28</f>
        <v>17.58</v>
      </c>
      <c r="CP49" s="57"/>
      <c r="CQ49" s="57">
        <f>AT28</f>
        <v>15.78</v>
      </c>
      <c r="CR49" s="57"/>
      <c r="CS49" s="57">
        <f>AV28</f>
        <v>20.387</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11"/>
      <c r="AL50" s="811"/>
      <c r="AM50" s="811"/>
      <c r="AN50" s="480"/>
      <c r="AO50" s="480"/>
      <c r="AP50" s="480"/>
      <c r="AQ50" s="533"/>
      <c r="AR50" s="534"/>
      <c r="AS50" s="534"/>
      <c r="AT50" s="534"/>
      <c r="AU50" s="534"/>
      <c r="AV50" s="534"/>
      <c r="AW50" s="534"/>
      <c r="AX50" s="536"/>
      <c r="AY50" s="336"/>
      <c r="AZ50" s="706">
        <v>33</v>
      </c>
      <c r="BA50" s="710" t="s">
        <v>697</v>
      </c>
      <c r="BB50" s="66" t="s">
        <v>424</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0</v>
      </c>
      <c r="BP50" s="57"/>
      <c r="BQ50" s="57">
        <f>T12+T24+T25+T26-T27</f>
        <v>0</v>
      </c>
      <c r="BR50" s="57"/>
      <c r="BS50" s="57">
        <f>V12+V24+V25+V26-V27</f>
        <v>0</v>
      </c>
      <c r="BT50" s="57"/>
      <c r="BU50" s="57">
        <f>X12+X24+X25+X28-X29</f>
        <v>12.788824558258057</v>
      </c>
      <c r="BV50" s="57"/>
      <c r="BW50" s="57">
        <f>Z12+Z24+Z25+Z28-Z29</f>
        <v>12.17320203781128</v>
      </c>
      <c r="BX50" s="57"/>
      <c r="BY50" s="57">
        <f>AB12+AB24+AB25+AB28-AB29</f>
        <v>11.974244356155396</v>
      </c>
      <c r="BZ50" s="57"/>
      <c r="CA50" s="57">
        <f>AD12+AD24+AD25+AD28-AD29</f>
        <v>11.735586643218994</v>
      </c>
      <c r="CB50" s="57"/>
      <c r="CC50" s="57">
        <f>AF12+AF24+AF25+AF28-AF29</f>
        <v>11.774063110351562</v>
      </c>
      <c r="CD50" s="57"/>
      <c r="CE50" s="57">
        <f>AH12+AH24+AH25+AH28-AH29</f>
        <v>11.76448678970337</v>
      </c>
      <c r="CF50" s="57"/>
      <c r="CG50" s="57">
        <f>AJ12+AJ24+AJ25+AJ28-AJ29</f>
        <v>10.628851890563965</v>
      </c>
      <c r="CH50" s="57"/>
      <c r="CI50" s="57">
        <f>AL12+AL24+AL25+AL28-AL29</f>
        <v>10.488691329956055</v>
      </c>
      <c r="CJ50" s="57"/>
      <c r="CK50" s="57">
        <f>AN12+AN24+AN25+AN28-AN29</f>
        <v>10.792941093444824</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43" t="str">
        <f>D24&amp;" (W2,16)"</f>
        <v>Eau dessalée (W2,16)</v>
      </c>
      <c r="G51" s="844"/>
      <c r="H51" s="845"/>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11"/>
      <c r="AL51" s="811"/>
      <c r="AM51" s="811"/>
      <c r="AO51" s="528"/>
      <c r="AP51" s="480"/>
      <c r="AQ51" s="534"/>
      <c r="AR51" s="534"/>
      <c r="AS51" s="534"/>
      <c r="AT51" s="534"/>
      <c r="AU51" s="534"/>
      <c r="AV51" s="534"/>
      <c r="AW51" s="534"/>
      <c r="AX51" s="536"/>
      <c r="AZ51" s="708" t="s">
        <v>441</v>
      </c>
      <c r="BA51" s="707" t="s">
        <v>698</v>
      </c>
      <c r="BB51" s="66"/>
      <c r="BC51" s="54" t="str">
        <f>IF(OR(ISBLANK(F12),ISBLANK(F24),ISBLANK(F25),ISBLANK(F26),ISBLANK(F27),ISBLANK(F28)),"N/A",IF((BC49=BC50),"ok","&lt;&gt;"))</f>
        <v>N/A</v>
      </c>
      <c r="BD51" s="54"/>
      <c r="BE51" s="54" t="str">
        <f>IF(OR(ISBLANK(H12),ISBLANK(H24),ISBLANK(H25),ISBLANK(H26),ISBLANK(H27),ISBLANK(H28)),"N/A",IF((BE49=BE50),"ok","&lt;&gt;"))</f>
        <v>N/A</v>
      </c>
      <c r="BF51" s="54"/>
      <c r="BG51" s="54" t="str">
        <f>IF(OR(ISBLANK(J12),ISBLANK(J24),ISBLANK(J25),ISBLANK(J26),ISBLANK(J27),ISBLANK(J28)),"N/A",IF((BG49=BG50),"ok","&lt;&gt;"))</f>
        <v>N/A</v>
      </c>
      <c r="BH51" s="54"/>
      <c r="BI51" s="54" t="str">
        <f>IF(OR(ISBLANK(L12),ISBLANK(L24),ISBLANK(L25),ISBLANK(L26),ISBLANK(L27),ISBLANK(L28)),"N/A",IF((BI49=BI50),"ok","&lt;&gt;"))</f>
        <v>N/A</v>
      </c>
      <c r="BJ51" s="54"/>
      <c r="BK51" s="54" t="str">
        <f>IF(OR(ISBLANK(N12),ISBLANK(N24),ISBLANK(N25),ISBLANK(N26),ISBLANK(N27),ISBLANK(N28)),"N/A",IF((BK49=BK50),"ok","&lt;&gt;"))</f>
        <v>N/A</v>
      </c>
      <c r="BL51" s="54"/>
      <c r="BM51" s="54" t="str">
        <f>IF(OR(ISBLANK(P12),ISBLANK(P24),ISBLANK(P25),ISBLANK(P26),ISBLANK(P27),ISBLANK(P28)),"N/A",IF((BM49=BM50),"ok","&lt;&gt;"))</f>
        <v>N/A</v>
      </c>
      <c r="BN51" s="54"/>
      <c r="BO51" s="54" t="str">
        <f>IF(OR(ISBLANK(R12),ISBLANK(R24),ISBLANK(R25),ISBLANK(R26),ISBLANK(R27),ISBLANK(R28)),"N/A",IF((BO49=BO50),"ok","&lt;&gt;"))</f>
        <v>N/A</v>
      </c>
      <c r="BP51" s="54"/>
      <c r="BQ51" s="54" t="str">
        <f>IF(OR(ISBLANK(T12),ISBLANK(T24),ISBLANK(T25),ISBLANK(T26),ISBLANK(T27),ISBLANK(T28)),"N/A",IF((BQ49=BQ50),"ok","&lt;&gt;"))</f>
        <v>N/A</v>
      </c>
      <c r="BR51" s="54"/>
      <c r="BS51" s="54" t="str">
        <f>IF(OR(ISBLANK(V12),ISBLANK(V24),ISBLANK(V25),ISBLANK(V26),ISBLANK(V27),ISBLANK(V28)),"N/A",IF((BS49=BS50),"ok","&lt;&gt;"))</f>
        <v>N/A</v>
      </c>
      <c r="BT51" s="54"/>
      <c r="BU51" s="54" t="str">
        <f>IF(OR(ISBLANK(X12),ISBLANK(X24),ISBLANK(X25),ISBLANK(X28),ISBLANK(X29),ISBLANK(X30)),"N/A",IF((BU49=BU50),"ok","&lt;&gt;"))</f>
        <v>N/A</v>
      </c>
      <c r="BV51" s="54"/>
      <c r="BW51" s="54" t="str">
        <f>IF(OR(ISBLANK(Z12),ISBLANK(Z24),ISBLANK(Z25),ISBLANK(Z28),ISBLANK(Z29),ISBLANK(Z30)),"N/A",IF((BW49=BW50),"ok","&lt;&gt;"))</f>
        <v>N/A</v>
      </c>
      <c r="BX51" s="54"/>
      <c r="BY51" s="54" t="str">
        <f>IF(OR(ISBLANK(AB12),ISBLANK(AB24),ISBLANK(AB25),ISBLANK(AB28),ISBLANK(AB29),ISBLANK(AB30)),"N/A",IF((BY49=BY50),"ok","&lt;&gt;"))</f>
        <v>N/A</v>
      </c>
      <c r="BZ51" s="54"/>
      <c r="CA51" s="54" t="str">
        <f>IF(OR(ISBLANK(AD12),ISBLANK(AD24),ISBLANK(AD25),ISBLANK(AD28),ISBLANK(AD29),ISBLANK(AD30)),"N/A",IF((CA49=CA50),"ok","&lt;&gt;"))</f>
        <v>N/A</v>
      </c>
      <c r="CB51" s="54"/>
      <c r="CC51" s="54" t="str">
        <f>IF(OR(ISBLANK(AF12),ISBLANK(AF24),ISBLANK(AF25),ISBLANK(AF28),ISBLANK(AF29),ISBLANK(AF30)),"N/A",IF((CC49=CC50),"ok","&lt;&gt;"))</f>
        <v>N/A</v>
      </c>
      <c r="CD51" s="54"/>
      <c r="CE51" s="54" t="str">
        <f>IF(OR(ISBLANK(AH12),ISBLANK(AH24),ISBLANK(AH25),ISBLANK(AH28),ISBLANK(AH29),ISBLANK(AH30)),"N/A",IF((CE49=CE50),"ok","&lt;&gt;"))</f>
        <v>N/A</v>
      </c>
      <c r="CF51" s="54"/>
      <c r="CG51" s="54" t="str">
        <f>IF(OR(ISBLANK(AJ12),ISBLANK(AJ24),ISBLANK(AJ25),ISBLANK(AJ28),ISBLANK(AJ29),ISBLANK(AJ30)),"N/A",IF((CG49=CG50),"ok","&lt;&gt;"))</f>
        <v>N/A</v>
      </c>
      <c r="CH51" s="54"/>
      <c r="CI51" s="54" t="str">
        <f>IF(OR(ISBLANK(AL12),ISBLANK(AL24),ISBLANK(AL25),ISBLANK(AL28),ISBLANK(AL29),ISBLANK(AL30)),"N/A",IF((CI49=CI50),"ok","&lt;&gt;"))</f>
        <v>N/A</v>
      </c>
      <c r="CJ51" s="54"/>
      <c r="CK51" s="54" t="str">
        <f>IF(OR(ISBLANK(AN12),ISBLANK(AN24),ISBLANK(AN25),ISBLANK(AN28),ISBLANK(AN29),ISBLANK(AN30)),"N/A",IF((CK49=CK50),"ok","&lt;&gt;"))</f>
        <v>N/A</v>
      </c>
      <c r="CL51" s="54"/>
      <c r="CM51" s="54" t="str">
        <f>IF(OR(ISBLANK(AP12),ISBLANK(AP24),ISBLANK(AP25),ISBLANK(AP26),ISBLANK(AP27),ISBLANK(AP28)),"N/A",IF((CM49=CM50),"ok","&lt;&gt;"))</f>
        <v>N/A</v>
      </c>
      <c r="CN51" s="54"/>
      <c r="CO51" s="54" t="str">
        <f>IF(OR(ISBLANK(AR12),ISBLANK(AR24),ISBLANK(AR25),ISBLANK(AR26),ISBLANK(AR27),ISBLANK(AR28)),"N/A",IF((CO49=CO50),"ok","&lt;&gt;"))</f>
        <v>N/A</v>
      </c>
      <c r="CP51" s="54"/>
      <c r="CQ51" s="54" t="str">
        <f>IF(OR(ISBLANK(AT12),ISBLANK(AT24),ISBLANK(AT25),ISBLANK(AT26),ISBLANK(AT27),ISBLANK(AT28)),"N/A",IF((CQ49=CQ50),"ok","&lt;&gt;"))</f>
        <v>N/A</v>
      </c>
      <c r="CR51" s="54"/>
      <c r="CS51" s="54" t="str">
        <f>IF(OR(ISBLANK(AV12),ISBLANK(AV24),ISBLANK(AV25),ISBLANK(AV26),ISBLANK(AV27),ISBLANK(AV28)),"N/A",IF((CS49=CS50),"ok","&lt;&gt;"))</f>
        <v>N/A</v>
      </c>
      <c r="CT51" s="54"/>
    </row>
    <row r="52" spans="2:98" ht="10.5" customHeight="1">
      <c r="B52" s="479"/>
      <c r="C52" s="468"/>
      <c r="D52" s="652"/>
      <c r="E52" s="639"/>
      <c r="F52" s="852"/>
      <c r="G52" s="853"/>
      <c r="H52" s="854"/>
      <c r="I52" s="639"/>
      <c r="J52" s="639"/>
      <c r="K52" s="639"/>
      <c r="L52" s="639"/>
      <c r="M52" s="639"/>
      <c r="N52" s="639"/>
      <c r="O52" s="639"/>
      <c r="P52" s="639"/>
      <c r="Q52" s="639"/>
      <c r="R52" s="639"/>
      <c r="S52" s="639"/>
      <c r="T52" s="639"/>
      <c r="U52" s="856" t="s">
        <v>645</v>
      </c>
      <c r="V52" s="857"/>
      <c r="W52" s="639"/>
      <c r="X52" s="639"/>
      <c r="Y52" s="639"/>
      <c r="Z52" s="639"/>
      <c r="AA52" s="603"/>
      <c r="AB52" s="602"/>
      <c r="AC52" s="603"/>
      <c r="AD52" s="602"/>
      <c r="AE52" s="603"/>
      <c r="AF52" s="602"/>
      <c r="AG52" s="603"/>
      <c r="AH52" s="602"/>
      <c r="AI52" s="604"/>
      <c r="AJ52" s="602"/>
      <c r="AK52" s="811"/>
      <c r="AL52" s="811"/>
      <c r="AM52" s="811"/>
      <c r="AN52" s="529"/>
      <c r="AO52" s="528"/>
      <c r="AP52" s="480"/>
      <c r="AQ52" s="535"/>
      <c r="AR52" s="535"/>
      <c r="AS52" s="535"/>
      <c r="AT52" s="535"/>
      <c r="AU52" s="535"/>
      <c r="AV52" s="535"/>
      <c r="AW52" s="535"/>
      <c r="AX52" s="539"/>
      <c r="AZ52" s="558">
        <v>5</v>
      </c>
      <c r="BA52" s="705" t="s">
        <v>699</v>
      </c>
      <c r="BB52" s="66" t="s">
        <v>424</v>
      </c>
      <c r="BC52" s="54">
        <f>F12</f>
        <v>0</v>
      </c>
      <c r="BD52" s="54"/>
      <c r="BE52" s="54">
        <f>H12</f>
        <v>0</v>
      </c>
      <c r="BF52" s="54"/>
      <c r="BG52" s="54">
        <f>J12</f>
        <v>0</v>
      </c>
      <c r="BH52" s="54"/>
      <c r="BI52" s="54">
        <f>L12</f>
        <v>0</v>
      </c>
      <c r="BJ52" s="54"/>
      <c r="BK52" s="54">
        <f>N12</f>
        <v>0</v>
      </c>
      <c r="BL52" s="54"/>
      <c r="BM52" s="54">
        <f>P12</f>
        <v>0</v>
      </c>
      <c r="BN52" s="54"/>
      <c r="BO52" s="54">
        <f>R12</f>
        <v>0</v>
      </c>
      <c r="BP52" s="54"/>
      <c r="BQ52" s="54">
        <f>T12</f>
        <v>0</v>
      </c>
      <c r="BR52" s="54"/>
      <c r="BS52" s="54">
        <f>V12</f>
        <v>0</v>
      </c>
      <c r="BT52" s="54"/>
      <c r="BU52" s="54">
        <f>X12</f>
        <v>0</v>
      </c>
      <c r="BV52" s="54"/>
      <c r="BW52" s="54">
        <f>Z12</f>
        <v>0</v>
      </c>
      <c r="BX52" s="54"/>
      <c r="BY52" s="54">
        <f>AB12</f>
        <v>0</v>
      </c>
      <c r="BZ52" s="54"/>
      <c r="CA52" s="54">
        <f>AD12</f>
        <v>0</v>
      </c>
      <c r="CB52" s="54"/>
      <c r="CC52" s="54">
        <f>AF12</f>
        <v>0</v>
      </c>
      <c r="CD52" s="54"/>
      <c r="CE52" s="54">
        <f>AH12</f>
        <v>0</v>
      </c>
      <c r="CF52" s="54"/>
      <c r="CG52" s="54">
        <f>AJ12</f>
        <v>0</v>
      </c>
      <c r="CH52" s="54"/>
      <c r="CI52" s="54">
        <f>AL12</f>
        <v>0</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58" t="str">
        <f>LEFT(D28,LEN(D28)-16)&amp;" (W2,20)"</f>
        <v>Quantité totale d’eau douce disponible et utilisable  (W2,20)</v>
      </c>
      <c r="M53" s="859"/>
      <c r="N53" s="787"/>
      <c r="O53" s="639"/>
      <c r="P53" s="639"/>
      <c r="Q53" s="858" t="str">
        <f>LEFT(D30,LEN(D30)-8)&amp;" (W2,22)"</f>
        <v>Quantité totale d’eau douce utilisée  (W2,22)</v>
      </c>
      <c r="R53" s="859"/>
      <c r="S53" s="787"/>
      <c r="T53" s="602"/>
      <c r="U53" s="857"/>
      <c r="V53" s="857"/>
      <c r="W53" s="639"/>
      <c r="X53" s="639"/>
      <c r="Y53" s="639"/>
      <c r="Z53" s="639"/>
      <c r="AA53" s="830" t="str">
        <f>D32&amp;" (W2,23)"</f>
        <v>Ménages (W2,23)</v>
      </c>
      <c r="AB53" s="840"/>
      <c r="AC53" s="840"/>
      <c r="AD53" s="840"/>
      <c r="AE53" s="840"/>
      <c r="AF53" s="840"/>
      <c r="AG53" s="840"/>
      <c r="AH53" s="841"/>
      <c r="AI53" s="841"/>
      <c r="AJ53" s="842"/>
      <c r="AK53" s="811"/>
      <c r="AL53" s="811"/>
      <c r="AM53" s="811"/>
      <c r="AN53" s="353"/>
      <c r="AO53" s="483"/>
      <c r="AP53" s="480"/>
      <c r="AQ53" s="533"/>
      <c r="AR53" s="533"/>
      <c r="AS53" s="533"/>
      <c r="AT53" s="533"/>
      <c r="AU53" s="533"/>
      <c r="AV53" s="533"/>
      <c r="AW53" s="533"/>
      <c r="AX53" s="536"/>
      <c r="AZ53" s="706">
        <v>34</v>
      </c>
      <c r="BA53" s="710" t="s">
        <v>700</v>
      </c>
      <c r="BB53" s="66" t="s">
        <v>424</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0</v>
      </c>
      <c r="CF53" s="57"/>
      <c r="CG53" s="57">
        <f>SUM(AJ14:AJ16)+SUM(AJ18:AJ20)+SUM(AJ22:AJ23)</f>
        <v>0</v>
      </c>
      <c r="CH53" s="57"/>
      <c r="CI53" s="57">
        <f>SUM(AL14:AL16)+SUM(AL18:AL20)+SUM(AL22:AL23)</f>
        <v>0</v>
      </c>
      <c r="CJ53" s="57"/>
      <c r="CK53" s="57">
        <f>SUM(AN14:AN16)+SUM(AN18:AN20)+SUM(AN22:AN23)</f>
        <v>0</v>
      </c>
      <c r="CL53" s="57"/>
      <c r="CM53" s="57">
        <f>SUM(AP14:AP16)+SUM(AP18:AP20)+SUM(AP22:AP23)</f>
        <v>0</v>
      </c>
      <c r="CN53" s="57"/>
      <c r="CO53" s="57">
        <f>SUM(AR14:AR16)+SUM(AR18:AR20)+SUM(AR22:AR23)</f>
        <v>0</v>
      </c>
      <c r="CP53" s="57"/>
      <c r="CQ53" s="57">
        <f>SUM(AT14:AT16)+SUM(AT18:AT20)+SUM(AT22:AT23)</f>
        <v>0</v>
      </c>
      <c r="CR53" s="57"/>
      <c r="CS53" s="57">
        <f>SUM(AV14:AV16)+SUM(AV18:AV20)+SUM(AV22:AV23)</f>
        <v>0</v>
      </c>
      <c r="CT53" s="57"/>
    </row>
    <row r="54" spans="2:98" ht="9" customHeight="1">
      <c r="B54" s="479"/>
      <c r="C54" s="468"/>
      <c r="D54" s="641"/>
      <c r="E54" s="639"/>
      <c r="F54" s="639"/>
      <c r="G54" s="639"/>
      <c r="H54" s="639"/>
      <c r="I54" s="639"/>
      <c r="J54" s="639"/>
      <c r="K54" s="639"/>
      <c r="L54" s="860"/>
      <c r="M54" s="861"/>
      <c r="N54" s="862"/>
      <c r="O54" s="639"/>
      <c r="P54" s="639"/>
      <c r="Q54" s="860"/>
      <c r="R54" s="861"/>
      <c r="S54" s="862"/>
      <c r="T54" s="639"/>
      <c r="U54" s="639"/>
      <c r="V54" s="639"/>
      <c r="W54" s="639"/>
      <c r="X54" s="639"/>
      <c r="Y54" s="639"/>
      <c r="Z54" s="639"/>
      <c r="AA54" s="603"/>
      <c r="AB54" s="602"/>
      <c r="AC54" s="603"/>
      <c r="AD54" s="602"/>
      <c r="AE54" s="603"/>
      <c r="AF54" s="602"/>
      <c r="AG54" s="603"/>
      <c r="AH54" s="602"/>
      <c r="AI54" s="604"/>
      <c r="AJ54" s="602"/>
      <c r="AK54" s="811"/>
      <c r="AL54" s="811"/>
      <c r="AM54" s="811"/>
      <c r="AN54" s="480"/>
      <c r="AO54" s="480"/>
      <c r="AP54" s="480"/>
      <c r="AQ54" s="535"/>
      <c r="AR54" s="535"/>
      <c r="AS54" s="535"/>
      <c r="AT54" s="535"/>
      <c r="AU54" s="535"/>
      <c r="AV54" s="535"/>
      <c r="AW54" s="535"/>
      <c r="AX54" s="539"/>
      <c r="AZ54" s="708" t="s">
        <v>441</v>
      </c>
      <c r="BA54" s="707" t="s">
        <v>701</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IF(OR(ISBLANK(AH12),ISBLANK(AH14),ISBLANK(AH15),ISBLANK(AH16),ISBLANK(AH18),ISBLANK(AH19),ISBLANK(AH20),ISBLANK(AH22),ISBLANK(AH23)),"N/A",IF(CE52=CE53,"ok","&lt;&gt;"))</f>
        <v>N/A</v>
      </c>
      <c r="CF54" s="54"/>
      <c r="CG54" s="54" t="str">
        <f>IF(OR(ISBLANK(AJ12),ISBLANK(AJ14),ISBLANK(AJ15),ISBLANK(AJ16),ISBLANK(AJ18),ISBLANK(AJ19),ISBLANK(AJ20),ISBLANK(AJ22),ISBLANK(AJ23)),"N/A",IF(CG52=CG53,"ok","&lt;&gt;"))</f>
        <v>N/A</v>
      </c>
      <c r="CH54" s="54"/>
      <c r="CI54" s="54" t="str">
        <f>IF(OR(ISBLANK(AL12),ISBLANK(AL14),ISBLANK(AL15),ISBLANK(AL16),ISBLANK(AL18),ISBLANK(AL19),ISBLANK(AL20),ISBLANK(AL22),ISBLANK(AL23)),"N/A",IF(CI52=CI53,"ok","&lt;&gt;"))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30" t="str">
        <f>D25&amp;" (W2,17)"</f>
        <v>Eau réutilisée (W2,17)</v>
      </c>
      <c r="G55" s="831"/>
      <c r="H55" s="832"/>
      <c r="I55" s="639"/>
      <c r="J55" s="639"/>
      <c r="K55" s="639"/>
      <c r="L55" s="860"/>
      <c r="M55" s="861"/>
      <c r="N55" s="862"/>
      <c r="O55" s="639"/>
      <c r="P55" s="639"/>
      <c r="Q55" s="860"/>
      <c r="R55" s="861"/>
      <c r="S55" s="862"/>
      <c r="T55" s="639"/>
      <c r="U55" s="639"/>
      <c r="V55" s="639"/>
      <c r="W55" s="639"/>
      <c r="X55" s="639"/>
      <c r="Y55" s="639"/>
      <c r="Z55" s="604"/>
      <c r="AA55" s="830" t="str">
        <f>D33&amp;" (W2,24)"</f>
        <v>Agriculture, sylviculture et pêche (divisions 01 à 03 de la CITI) (W2,24)</v>
      </c>
      <c r="AB55" s="831"/>
      <c r="AC55" s="831"/>
      <c r="AD55" s="831"/>
      <c r="AE55" s="831"/>
      <c r="AF55" s="831"/>
      <c r="AG55" s="831"/>
      <c r="AH55" s="837"/>
      <c r="AI55" s="837"/>
      <c r="AJ55" s="838"/>
      <c r="AK55" s="485"/>
      <c r="AL55" s="485"/>
      <c r="AM55" s="485"/>
      <c r="AN55" s="480"/>
      <c r="AO55" s="480"/>
      <c r="AP55" s="480"/>
      <c r="AQ55" s="533"/>
      <c r="AR55" s="533"/>
      <c r="AS55" s="533"/>
      <c r="AT55" s="533"/>
      <c r="AU55" s="533"/>
      <c r="AV55" s="533"/>
      <c r="AW55" s="533"/>
      <c r="AX55" s="536"/>
      <c r="AZ55" s="558">
        <v>22</v>
      </c>
      <c r="BA55" s="705" t="s">
        <v>683</v>
      </c>
      <c r="BB55" s="66" t="s">
        <v>424</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X32</f>
        <v>7.552783012390137</v>
      </c>
      <c r="BV55" s="57"/>
      <c r="BW55" s="57">
        <f>Z32</f>
        <v>7.172842979431152</v>
      </c>
      <c r="BX55" s="57"/>
      <c r="BY55" s="57">
        <f>AB32</f>
        <v>6.806888103485107</v>
      </c>
      <c r="BZ55" s="57"/>
      <c r="CA55" s="57">
        <f>AD32</f>
        <v>6.590263843536377</v>
      </c>
      <c r="CB55" s="57"/>
      <c r="CC55" s="57">
        <f>AF32</f>
        <v>6.502994060516357</v>
      </c>
      <c r="CD55" s="57"/>
      <c r="CE55" s="57">
        <f>AH32</f>
        <v>6.3951520919799805</v>
      </c>
      <c r="CF55" s="57"/>
      <c r="CG55" s="57">
        <f>AJ32</f>
        <v>5.615816116333008</v>
      </c>
      <c r="CH55" s="57"/>
      <c r="CI55" s="57">
        <f>AL32</f>
        <v>5.967377185821533</v>
      </c>
      <c r="CJ55" s="57"/>
      <c r="CK55" s="57">
        <f>AN32</f>
        <v>6.0101728439331055</v>
      </c>
      <c r="CL55" s="57"/>
      <c r="CM55" s="57">
        <f>AP30</f>
        <v>11.21</v>
      </c>
      <c r="CN55" s="57"/>
      <c r="CO55" s="57">
        <f>AR30</f>
        <v>10.87</v>
      </c>
      <c r="CP55" s="57"/>
      <c r="CQ55" s="57">
        <f>AT30</f>
        <v>11.34</v>
      </c>
      <c r="CR55" s="57"/>
      <c r="CS55" s="57">
        <f>AV30</f>
        <v>11.54</v>
      </c>
      <c r="CT55" s="57"/>
    </row>
    <row r="56" spans="2:98" ht="8.25" customHeight="1">
      <c r="B56" s="479"/>
      <c r="C56" s="468"/>
      <c r="D56" s="642"/>
      <c r="E56" s="639"/>
      <c r="F56" s="639"/>
      <c r="G56" s="639"/>
      <c r="H56" s="639"/>
      <c r="I56" s="639"/>
      <c r="J56" s="639"/>
      <c r="K56" s="639"/>
      <c r="L56" s="860"/>
      <c r="M56" s="861"/>
      <c r="N56" s="862"/>
      <c r="O56" s="639"/>
      <c r="P56" s="639"/>
      <c r="Q56" s="860"/>
      <c r="R56" s="861"/>
      <c r="S56" s="862"/>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702</v>
      </c>
      <c r="BB56" s="66" t="s">
        <v>424</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X30-X31</f>
        <v>12.788825035095215</v>
      </c>
      <c r="BV56" s="54"/>
      <c r="BW56" s="54">
        <f>Z30-Z31</f>
        <v>12.173202514648438</v>
      </c>
      <c r="BX56" s="54"/>
      <c r="BY56" s="54">
        <f>AB30-AB31</f>
        <v>11.974244117736816</v>
      </c>
      <c r="BZ56" s="54"/>
      <c r="CA56" s="54">
        <f>AD30-AD31</f>
        <v>11.735587120056152</v>
      </c>
      <c r="CB56" s="54"/>
      <c r="CC56" s="54">
        <f>AF30-AF31</f>
        <v>11.774064064025879</v>
      </c>
      <c r="CD56" s="54"/>
      <c r="CE56" s="54">
        <f>AH30-AH31</f>
        <v>11.764487266540527</v>
      </c>
      <c r="CF56" s="54"/>
      <c r="CG56" s="54">
        <f>AJ30-AJ31</f>
        <v>10.62909984588623</v>
      </c>
      <c r="CH56" s="54"/>
      <c r="CI56" s="54">
        <f>AL30-AL31</f>
        <v>10.48859977722168</v>
      </c>
      <c r="CJ56" s="54"/>
      <c r="CK56" s="54">
        <f>AN30-AN31</f>
        <v>10.792799949645996</v>
      </c>
      <c r="CL56" s="54"/>
      <c r="CM56" s="54">
        <f>AP28-AP29</f>
        <v>11.21</v>
      </c>
      <c r="CN56" s="54"/>
      <c r="CO56" s="54">
        <f>AR28-AR29</f>
        <v>10.87</v>
      </c>
      <c r="CP56" s="54"/>
      <c r="CQ56" s="54">
        <f>AT28-AT29</f>
        <v>11.34</v>
      </c>
      <c r="CR56" s="54"/>
      <c r="CS56" s="54">
        <f>AV28-AV29</f>
        <v>11.54</v>
      </c>
      <c r="CT56" s="54"/>
    </row>
    <row r="57" spans="2:98" ht="24.75" customHeight="1">
      <c r="B57" s="479"/>
      <c r="C57" s="468"/>
      <c r="D57" s="643" t="str">
        <f>D18&amp;" (W2,10)"</f>
        <v>Activités extractives (divisions 05 à 09 de la CITI) (W2,10)</v>
      </c>
      <c r="E57" s="639"/>
      <c r="F57" s="639"/>
      <c r="G57" s="639"/>
      <c r="H57" s="639"/>
      <c r="I57" s="639"/>
      <c r="J57" s="639"/>
      <c r="K57" s="639"/>
      <c r="L57" s="860"/>
      <c r="M57" s="861"/>
      <c r="N57" s="862"/>
      <c r="O57" s="639"/>
      <c r="P57" s="639"/>
      <c r="Q57" s="860"/>
      <c r="R57" s="861"/>
      <c r="S57" s="862"/>
      <c r="T57" s="639"/>
      <c r="U57" s="639"/>
      <c r="V57" s="639"/>
      <c r="W57" s="639"/>
      <c r="X57" s="639"/>
      <c r="Y57" s="639"/>
      <c r="Z57" s="639"/>
      <c r="AA57" s="830" t="str">
        <f>D35&amp;" (W2,26)"</f>
        <v>Activités extractives (divisions 05 à 09 de la CITI) (W2,26)</v>
      </c>
      <c r="AB57" s="831"/>
      <c r="AC57" s="831"/>
      <c r="AD57" s="831"/>
      <c r="AE57" s="831"/>
      <c r="AF57" s="831"/>
      <c r="AG57" s="831"/>
      <c r="AH57" s="837"/>
      <c r="AI57" s="837"/>
      <c r="AJ57" s="838"/>
      <c r="AK57" s="485"/>
      <c r="AL57" s="485"/>
      <c r="AM57" s="485"/>
      <c r="AN57" s="480"/>
      <c r="AO57" s="480"/>
      <c r="AP57" s="480"/>
      <c r="AQ57" s="533"/>
      <c r="AR57" s="533"/>
      <c r="AS57" s="533"/>
      <c r="AT57" s="533"/>
      <c r="AU57" s="533"/>
      <c r="AV57" s="533"/>
      <c r="AW57" s="533"/>
      <c r="AX57" s="536"/>
      <c r="AZ57" s="711" t="s">
        <v>441</v>
      </c>
      <c r="BA57" s="712" t="s">
        <v>703</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IF(OR(ISBLANK(X30),ISBLANK(X31),ISBLANK(X32)),"N/A",IF(BU55=BU56,"ok","&lt;&gt;"))</f>
        <v>N/A</v>
      </c>
      <c r="BV57" s="55"/>
      <c r="BW57" s="55" t="str">
        <f>IF(OR(ISBLANK(Z30),ISBLANK(Z31),ISBLANK(Z32)),"N/A",IF(BW55=BW56,"ok","&lt;&gt;"))</f>
        <v>N/A</v>
      </c>
      <c r="BX57" s="55"/>
      <c r="BY57" s="55" t="str">
        <f>IF(OR(ISBLANK(AB30),ISBLANK(AB31),ISBLANK(AB32)),"N/A",IF(BY55=BY56,"ok","&lt;&gt;"))</f>
        <v>N/A</v>
      </c>
      <c r="BZ57" s="55"/>
      <c r="CA57" s="55" t="str">
        <f>IF(OR(ISBLANK(AD30),ISBLANK(AD31),ISBLANK(AD32)),"N/A",IF(CA55=CA56,"ok","&lt;&gt;"))</f>
        <v>N/A</v>
      </c>
      <c r="CB57" s="55"/>
      <c r="CC57" s="55" t="str">
        <f>IF(OR(ISBLANK(AF30),ISBLANK(AF31),ISBLANK(AF32)),"N/A",IF(CC55=CC56,"ok","&lt;&gt;"))</f>
        <v>N/A</v>
      </c>
      <c r="CD57" s="55"/>
      <c r="CE57" s="55" t="str">
        <f>IF(OR(ISBLANK(AH30),ISBLANK(AH31),ISBLANK(AH32)),"N/A",IF(CE55=CE56,"ok","&lt;&gt;"))</f>
        <v>N/A</v>
      </c>
      <c r="CF57" s="55"/>
      <c r="CG57" s="55" t="str">
        <f>IF(OR(ISBLANK(AJ30),ISBLANK(AJ31),ISBLANK(AJ32)),"N/A",IF(CG55=CG56,"ok","&lt;&gt;"))</f>
        <v>N/A</v>
      </c>
      <c r="CH57" s="55"/>
      <c r="CI57" s="55" t="str">
        <f>IF(OR(ISBLANK(AL30),ISBLANK(AL31),ISBLANK(AL32)),"N/A",IF(CI55=CI56,"ok","&lt;&gt;"))</f>
        <v>N/A</v>
      </c>
      <c r="CJ57" s="55"/>
      <c r="CK57" s="55" t="str">
        <f>IF(OR(ISBLANK(AN30),ISBLANK(AN31),ISBLANK(AN32)),"N/A",IF(CK55=CK56,"ok","&lt;&gt;"))</f>
        <v>N/A</v>
      </c>
      <c r="CL57" s="55"/>
      <c r="CM57" s="55" t="str">
        <f>IF(OR(ISBLANK(AP28),ISBLANK(AP29),ISBLANK(AP30)),"N/A",IF(CM55=CM56,"ok","&lt;&gt;"))</f>
        <v>ok</v>
      </c>
      <c r="CN57" s="55"/>
      <c r="CO57" s="55" t="str">
        <f>IF(OR(ISBLANK(AR28),ISBLANK(AR29),ISBLANK(AR30)),"N/A",IF(CO55=CO56,"ok","&lt;&gt;"))</f>
        <v>ok</v>
      </c>
      <c r="CP57" s="55"/>
      <c r="CQ57" s="55" t="str">
        <f>IF(OR(ISBLANK(AT28),ISBLANK(AT29),ISBLANK(AT30)),"N/A",IF(CQ55=CQ56,"ok","&lt;&gt;"))</f>
        <v>ok</v>
      </c>
      <c r="CR57" s="55"/>
      <c r="CS57" s="55" t="str">
        <f>IF(OR(ISBLANK(AV28),ISBLANK(AV29),ISBLANK(AV30)),"N/A",IF(CS55=CS56,"ok","&lt;&gt;"))</f>
        <v>ok</v>
      </c>
      <c r="CT57" s="55"/>
    </row>
    <row r="58" spans="2:98" ht="8.25" customHeight="1">
      <c r="B58" s="479"/>
      <c r="C58" s="468"/>
      <c r="D58" s="642"/>
      <c r="E58" s="639"/>
      <c r="F58" s="639"/>
      <c r="G58" s="639"/>
      <c r="H58" s="639"/>
      <c r="I58" s="639"/>
      <c r="J58" s="639"/>
      <c r="K58" s="639"/>
      <c r="L58" s="860"/>
      <c r="M58" s="861"/>
      <c r="N58" s="862"/>
      <c r="O58" s="639"/>
      <c r="P58" s="639"/>
      <c r="Q58" s="860"/>
      <c r="R58" s="861"/>
      <c r="S58" s="862"/>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409</v>
      </c>
      <c r="BA58" s="276" t="s">
        <v>410</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60"/>
      <c r="M59" s="861"/>
      <c r="N59" s="862"/>
      <c r="O59" s="639"/>
      <c r="P59" s="639"/>
      <c r="Q59" s="860"/>
      <c r="R59" s="861"/>
      <c r="S59" s="862"/>
      <c r="T59" s="639"/>
      <c r="U59" s="639"/>
      <c r="V59" s="639"/>
      <c r="W59" s="639"/>
      <c r="X59" s="639"/>
      <c r="Y59" s="639"/>
      <c r="Z59" s="639"/>
      <c r="AA59" s="830" t="str">
        <f>D36&amp;" (W2,27)"</f>
        <v>Activités de fabrication  (divisions 10 à 33 de la CITI) (W2,27)</v>
      </c>
      <c r="AB59" s="831"/>
      <c r="AC59" s="831"/>
      <c r="AD59" s="831"/>
      <c r="AE59" s="831"/>
      <c r="AF59" s="831"/>
      <c r="AG59" s="831"/>
      <c r="AH59" s="837"/>
      <c r="AI59" s="837"/>
      <c r="AJ59" s="838"/>
      <c r="AK59" s="481"/>
      <c r="AL59" s="481"/>
      <c r="AM59" s="481"/>
      <c r="AN59" s="480"/>
      <c r="AO59" s="480"/>
      <c r="AP59" s="480"/>
      <c r="AQ59" s="533"/>
      <c r="AR59" s="533"/>
      <c r="AS59" s="533"/>
      <c r="AT59" s="533"/>
      <c r="AU59" s="533"/>
      <c r="AV59" s="533"/>
      <c r="AW59" s="533"/>
      <c r="AX59" s="536"/>
      <c r="AY59" s="278"/>
      <c r="AZ59" s="275" t="s">
        <v>411</v>
      </c>
      <c r="BA59" s="276" t="s">
        <v>412</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60"/>
      <c r="M60" s="861"/>
      <c r="N60" s="862"/>
      <c r="O60" s="639"/>
      <c r="P60" s="639"/>
      <c r="Q60" s="860"/>
      <c r="R60" s="861"/>
      <c r="S60" s="862"/>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414</v>
      </c>
      <c r="BA60" s="276" t="s">
        <v>416</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63"/>
      <c r="M61" s="864"/>
      <c r="N61" s="865"/>
      <c r="O61" s="639"/>
      <c r="P61" s="639"/>
      <c r="Q61" s="863"/>
      <c r="R61" s="864"/>
      <c r="S61" s="865"/>
      <c r="T61" s="639"/>
      <c r="U61" s="639"/>
      <c r="V61" s="639"/>
      <c r="W61" s="639"/>
      <c r="X61" s="639"/>
      <c r="Y61" s="604"/>
      <c r="Z61" s="604"/>
      <c r="AA61" s="830" t="str">
        <f>D35&amp;" (W2,28)"</f>
        <v>Activités extractives (divisions 05 à 09 de la CITI) (W2,28)</v>
      </c>
      <c r="AB61" s="831"/>
      <c r="AC61" s="831"/>
      <c r="AD61" s="831"/>
      <c r="AE61" s="831"/>
      <c r="AF61" s="831"/>
      <c r="AG61" s="831"/>
      <c r="AH61" s="837"/>
      <c r="AI61" s="837"/>
      <c r="AJ61" s="838"/>
      <c r="AK61" s="251"/>
      <c r="AL61" s="251"/>
      <c r="AM61" s="481"/>
      <c r="AN61" s="480"/>
      <c r="AO61" s="480"/>
      <c r="AP61" s="480"/>
      <c r="AQ61" s="533"/>
      <c r="AR61" s="533"/>
      <c r="AS61" s="533"/>
      <c r="AT61" s="533"/>
      <c r="AU61" s="533"/>
      <c r="AV61" s="533"/>
      <c r="AW61" s="533"/>
      <c r="AX61" s="536"/>
      <c r="AY61" s="278"/>
      <c r="AZ61" s="277" t="s">
        <v>413</v>
      </c>
      <c r="BA61" s="276" t="s">
        <v>378</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43" t="str">
        <f>D26&amp;" - "&amp;D27&amp;"  =(W2,18) - (W2,19)"</f>
        <v>Importations d’eau - Exportations d’eau  =(W2,18) - (W2,19)</v>
      </c>
      <c r="G62" s="844"/>
      <c r="H62" s="845"/>
      <c r="I62" s="639"/>
      <c r="J62" s="639"/>
      <c r="K62" s="639"/>
      <c r="L62" s="639"/>
      <c r="M62" s="639"/>
      <c r="N62" s="639"/>
      <c r="O62" s="639"/>
      <c r="P62" s="639"/>
      <c r="Q62" s="639"/>
      <c r="R62" s="639"/>
      <c r="S62" s="639"/>
      <c r="T62" s="639"/>
      <c r="U62" s="639"/>
      <c r="V62" s="639"/>
      <c r="W62" s="639"/>
      <c r="X62" s="639"/>
      <c r="Y62" s="604"/>
      <c r="Z62" s="595"/>
      <c r="AA62" s="603"/>
      <c r="AB62" s="824"/>
      <c r="AC62" s="824"/>
      <c r="AD62" s="824"/>
      <c r="AE62" s="824"/>
      <c r="AF62" s="824"/>
      <c r="AG62" s="824"/>
      <c r="AH62" s="824"/>
      <c r="AI62" s="824"/>
      <c r="AJ62" s="824"/>
      <c r="AK62" s="251"/>
      <c r="AL62" s="251"/>
      <c r="AM62" s="481"/>
      <c r="AN62" s="480"/>
      <c r="AO62" s="480"/>
      <c r="AP62" s="480"/>
      <c r="AQ62" s="480"/>
      <c r="AR62" s="480"/>
      <c r="AS62" s="480"/>
      <c r="AT62" s="480"/>
      <c r="AU62" s="480"/>
      <c r="AV62" s="480"/>
      <c r="AW62" s="480"/>
      <c r="AX62" s="532"/>
      <c r="AY62" s="278"/>
      <c r="AZ62" s="275" t="s">
        <v>409</v>
      </c>
      <c r="BA62" s="276" t="s">
        <v>410</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46"/>
      <c r="G63" s="847"/>
      <c r="H63" s="848"/>
      <c r="I63" s="639"/>
      <c r="J63" s="639"/>
      <c r="K63" s="639"/>
      <c r="L63" s="639"/>
      <c r="M63" s="639"/>
      <c r="N63" s="843" t="str">
        <f>D27&amp;" (W2,21)"</f>
        <v>Exportations d’eau (W2,21)</v>
      </c>
      <c r="O63" s="844"/>
      <c r="P63" s="845"/>
      <c r="Q63" s="639"/>
      <c r="R63" s="639"/>
      <c r="S63" s="639"/>
      <c r="T63" s="639"/>
      <c r="U63" s="639"/>
      <c r="V63" s="639"/>
      <c r="W63" s="639"/>
      <c r="X63" s="639"/>
      <c r="Y63" s="604"/>
      <c r="Z63" s="595"/>
      <c r="AA63" s="830" t="str">
        <f>D39&amp;" (W2,30)"</f>
        <v>Construction (divisions 41 à 43 de la CITI) (W2,30)</v>
      </c>
      <c r="AB63" s="831"/>
      <c r="AC63" s="831"/>
      <c r="AD63" s="831"/>
      <c r="AE63" s="831"/>
      <c r="AF63" s="831"/>
      <c r="AG63" s="831"/>
      <c r="AH63" s="837"/>
      <c r="AI63" s="837"/>
      <c r="AJ63" s="838"/>
      <c r="AK63" s="480"/>
      <c r="AL63" s="480"/>
      <c r="AM63" s="480"/>
      <c r="AN63" s="480"/>
      <c r="AO63" s="480"/>
      <c r="AP63" s="480"/>
      <c r="AQ63" s="480"/>
      <c r="AR63" s="480"/>
      <c r="AS63" s="480"/>
      <c r="AT63" s="480"/>
      <c r="AU63" s="480"/>
      <c r="AV63" s="480"/>
      <c r="AW63" s="480"/>
      <c r="AY63" s="278"/>
      <c r="AZ63" s="275" t="s">
        <v>411</v>
      </c>
      <c r="BA63" s="276" t="s">
        <v>412</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49"/>
      <c r="G64" s="850"/>
      <c r="H64" s="851"/>
      <c r="I64" s="639"/>
      <c r="J64" s="639"/>
      <c r="K64" s="639"/>
      <c r="L64" s="639"/>
      <c r="M64" s="639"/>
      <c r="N64" s="852"/>
      <c r="O64" s="853"/>
      <c r="P64" s="854"/>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414</v>
      </c>
      <c r="BA64" s="276" t="s">
        <v>416</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30" t="str">
        <f>D40&amp;" (W2,31)"</f>
        <v>Autres activités économiques  (W2,31)</v>
      </c>
      <c r="AB65" s="831"/>
      <c r="AC65" s="831"/>
      <c r="AD65" s="831"/>
      <c r="AE65" s="831"/>
      <c r="AF65" s="831"/>
      <c r="AG65" s="831"/>
      <c r="AH65" s="837"/>
      <c r="AI65" s="837"/>
      <c r="AJ65" s="838"/>
      <c r="AK65" s="480"/>
      <c r="AL65" s="480"/>
      <c r="AM65" s="480"/>
      <c r="AN65" s="480"/>
      <c r="AO65" s="480"/>
      <c r="AP65" s="480"/>
      <c r="AQ65" s="480"/>
      <c r="AR65" s="480"/>
      <c r="AS65" s="480"/>
      <c r="AT65" s="480"/>
      <c r="AU65" s="480"/>
      <c r="AV65" s="480"/>
      <c r="AW65" s="480"/>
      <c r="AZ65" s="277" t="s">
        <v>413</v>
      </c>
      <c r="BA65" s="276" t="s">
        <v>378</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298</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515</v>
      </c>
      <c r="D69" s="798" t="s">
        <v>299</v>
      </c>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839"/>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1:99" ht="18" customHeight="1">
      <c r="A70" s="166">
        <v>1</v>
      </c>
      <c r="B70" s="137">
        <v>5332</v>
      </c>
      <c r="C70" s="495" t="s">
        <v>704</v>
      </c>
      <c r="D70" s="794" t="s">
        <v>716</v>
      </c>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822"/>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1:99" ht="18" customHeight="1">
      <c r="A71" s="166">
        <v>0</v>
      </c>
      <c r="B71" s="137">
        <v>6734</v>
      </c>
      <c r="C71" s="490" t="s">
        <v>705</v>
      </c>
      <c r="D71" s="790" t="s">
        <v>732</v>
      </c>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1:99" ht="18" customHeight="1">
      <c r="A72" s="166">
        <v>0</v>
      </c>
      <c r="B72" s="137">
        <v>5333</v>
      </c>
      <c r="C72" s="490" t="s">
        <v>706</v>
      </c>
      <c r="D72" s="790" t="s">
        <v>717</v>
      </c>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823"/>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1:99" ht="18" customHeight="1">
      <c r="A73" s="166">
        <v>1</v>
      </c>
      <c r="B73" s="137">
        <v>5547</v>
      </c>
      <c r="C73" s="490" t="s">
        <v>707</v>
      </c>
      <c r="D73" s="790" t="s">
        <v>718</v>
      </c>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823"/>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1:99" ht="18" customHeight="1">
      <c r="A74" s="166">
        <v>1</v>
      </c>
      <c r="B74" s="137">
        <v>5336</v>
      </c>
      <c r="C74" s="490" t="s">
        <v>708</v>
      </c>
      <c r="D74" s="790" t="s">
        <v>719</v>
      </c>
      <c r="E74" s="791"/>
      <c r="F74" s="791"/>
      <c r="G74" s="791"/>
      <c r="H74" s="791"/>
      <c r="I74" s="791"/>
      <c r="J74" s="791"/>
      <c r="K74" s="791"/>
      <c r="L74" s="791"/>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823"/>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790"/>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823"/>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790"/>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823"/>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790"/>
      <c r="E77" s="791"/>
      <c r="F77" s="791"/>
      <c r="G77" s="791"/>
      <c r="H77" s="791"/>
      <c r="I77" s="791"/>
      <c r="J77" s="791"/>
      <c r="K77" s="791"/>
      <c r="L77" s="791"/>
      <c r="M77" s="791"/>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823"/>
    </row>
    <row r="78" spans="3:50" ht="18" customHeight="1">
      <c r="C78" s="490"/>
      <c r="D78" s="790"/>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823"/>
    </row>
    <row r="79" spans="3:50" ht="18" customHeight="1">
      <c r="C79" s="490"/>
      <c r="D79" s="790"/>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823"/>
    </row>
    <row r="80" spans="3:50" ht="18" customHeight="1">
      <c r="C80" s="490"/>
      <c r="D80" s="790"/>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23"/>
    </row>
    <row r="81" spans="3:50" ht="18" customHeight="1">
      <c r="C81" s="490"/>
      <c r="D81" s="790"/>
      <c r="E81" s="791"/>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823"/>
    </row>
    <row r="82" spans="3:50" ht="18" customHeight="1">
      <c r="C82" s="490"/>
      <c r="D82" s="790"/>
      <c r="E82" s="791"/>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823"/>
    </row>
    <row r="83" spans="3:50" ht="18" customHeight="1">
      <c r="C83" s="490"/>
      <c r="D83" s="790"/>
      <c r="E83" s="791"/>
      <c r="F83" s="791"/>
      <c r="G83" s="791"/>
      <c r="H83" s="791"/>
      <c r="I83" s="791"/>
      <c r="J83" s="791"/>
      <c r="K83" s="791"/>
      <c r="L83" s="791"/>
      <c r="M83" s="791"/>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823"/>
    </row>
    <row r="84" spans="3:50" ht="18" customHeight="1">
      <c r="C84" s="490"/>
      <c r="D84" s="790"/>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791"/>
      <c r="AS84" s="791"/>
      <c r="AT84" s="791"/>
      <c r="AU84" s="791"/>
      <c r="AV84" s="791"/>
      <c r="AW84" s="791"/>
      <c r="AX84" s="823"/>
    </row>
    <row r="85" spans="3:50" ht="18" customHeight="1">
      <c r="C85" s="490"/>
      <c r="D85" s="790"/>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1"/>
      <c r="AT85" s="791"/>
      <c r="AU85" s="791"/>
      <c r="AV85" s="791"/>
      <c r="AW85" s="791"/>
      <c r="AX85" s="823"/>
    </row>
    <row r="86" spans="3:50" ht="18" customHeight="1">
      <c r="C86" s="490"/>
      <c r="D86" s="790"/>
      <c r="E86" s="791"/>
      <c r="F86" s="791"/>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1"/>
      <c r="AN86" s="791"/>
      <c r="AO86" s="791"/>
      <c r="AP86" s="791"/>
      <c r="AQ86" s="791"/>
      <c r="AR86" s="791"/>
      <c r="AS86" s="791"/>
      <c r="AT86" s="791"/>
      <c r="AU86" s="791"/>
      <c r="AV86" s="791"/>
      <c r="AW86" s="791"/>
      <c r="AX86" s="823"/>
    </row>
    <row r="87" spans="3:50" ht="18" customHeight="1">
      <c r="C87" s="490"/>
      <c r="D87" s="790"/>
      <c r="E87" s="791"/>
      <c r="F87" s="791"/>
      <c r="G87" s="791"/>
      <c r="H87" s="791"/>
      <c r="I87" s="791"/>
      <c r="J87" s="791"/>
      <c r="K87" s="791"/>
      <c r="L87" s="791"/>
      <c r="M87" s="791"/>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1"/>
      <c r="AN87" s="791"/>
      <c r="AO87" s="791"/>
      <c r="AP87" s="791"/>
      <c r="AQ87" s="791"/>
      <c r="AR87" s="791"/>
      <c r="AS87" s="791"/>
      <c r="AT87" s="791"/>
      <c r="AU87" s="791"/>
      <c r="AV87" s="791"/>
      <c r="AW87" s="791"/>
      <c r="AX87" s="823"/>
    </row>
    <row r="88" spans="3:50" ht="18" customHeight="1">
      <c r="C88" s="490"/>
      <c r="D88" s="790"/>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823"/>
    </row>
    <row r="89" spans="3:50" ht="16.5" customHeight="1">
      <c r="C89" s="490"/>
      <c r="D89" s="790"/>
      <c r="E89" s="791"/>
      <c r="F89" s="791"/>
      <c r="G89" s="791"/>
      <c r="H89" s="791"/>
      <c r="I89" s="791"/>
      <c r="J89" s="791"/>
      <c r="K89" s="791"/>
      <c r="L89" s="791"/>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823"/>
    </row>
    <row r="90" spans="1:98" ht="12.75">
      <c r="A90" s="355"/>
      <c r="C90" s="490"/>
      <c r="D90" s="790"/>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823"/>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06"/>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07"/>
      <c r="AP91" s="807"/>
      <c r="AQ91" s="807"/>
      <c r="AR91" s="807"/>
      <c r="AS91" s="807"/>
      <c r="AT91" s="807"/>
      <c r="AU91" s="807"/>
      <c r="AV91" s="807"/>
      <c r="AW91" s="807"/>
      <c r="AX91" s="825"/>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formatCells="0" formatColumns="0" formatRows="0" insertColumns="0"/>
  <mergeCells count="48">
    <mergeCell ref="N63:P64"/>
    <mergeCell ref="AA65:AJ65"/>
    <mergeCell ref="E49:H49"/>
    <mergeCell ref="F51:H52"/>
    <mergeCell ref="U52:V53"/>
    <mergeCell ref="L53:N61"/>
    <mergeCell ref="Q53:S61"/>
    <mergeCell ref="AB62:AJ62"/>
    <mergeCell ref="L48:R48"/>
    <mergeCell ref="AA61:AJ61"/>
    <mergeCell ref="D69:AX69"/>
    <mergeCell ref="AK49:AM54"/>
    <mergeCell ref="AA53:AJ53"/>
    <mergeCell ref="AA55:AJ55"/>
    <mergeCell ref="AA57:AJ57"/>
    <mergeCell ref="AA59:AJ59"/>
    <mergeCell ref="AA63:AJ63"/>
    <mergeCell ref="F62:H64"/>
    <mergeCell ref="D83:AX83"/>
    <mergeCell ref="D86:AX86"/>
    <mergeCell ref="D84:AX84"/>
    <mergeCell ref="C5:AM5"/>
    <mergeCell ref="D42:AX42"/>
    <mergeCell ref="D43:AX43"/>
    <mergeCell ref="D44:AX44"/>
    <mergeCell ref="D45:AX45"/>
    <mergeCell ref="D46:AX46"/>
    <mergeCell ref="F55:H55"/>
    <mergeCell ref="D77:AX77"/>
    <mergeCell ref="D87:AX87"/>
    <mergeCell ref="D88:AX88"/>
    <mergeCell ref="F47:L47"/>
    <mergeCell ref="D90:AX90"/>
    <mergeCell ref="D91:AX91"/>
    <mergeCell ref="D76:AX76"/>
    <mergeCell ref="D79:AX79"/>
    <mergeCell ref="D80:AX80"/>
    <mergeCell ref="D82:AX82"/>
    <mergeCell ref="D70:AX70"/>
    <mergeCell ref="D71:AX71"/>
    <mergeCell ref="D72:AX72"/>
    <mergeCell ref="D81:AX81"/>
    <mergeCell ref="D89:AX89"/>
    <mergeCell ref="D73:AX73"/>
    <mergeCell ref="D75:AX75"/>
    <mergeCell ref="D74:AX74"/>
    <mergeCell ref="D85:AX85"/>
    <mergeCell ref="D78:AX78"/>
  </mergeCells>
  <conditionalFormatting sqref="F30">
    <cfRule type="cellIs" priority="483" dxfId="338" operator="lessThan" stopIfTrue="1">
      <formula>0.99*(F28-F29)</formula>
    </cfRule>
  </conditionalFormatting>
  <conditionalFormatting sqref="F28">
    <cfRule type="cellIs" priority="485" dxfId="338" operator="lessThan" stopIfTrue="1">
      <formula>F12+F24+F25+F26-F27-(0.01*(F12+F24+F25+F26-F27))</formula>
    </cfRule>
  </conditionalFormatting>
  <conditionalFormatting sqref="H30">
    <cfRule type="cellIs" priority="480" dxfId="338" operator="lessThan" stopIfTrue="1">
      <formula>0.99*(H28-H29)</formula>
    </cfRule>
  </conditionalFormatting>
  <conditionalFormatting sqref="H28">
    <cfRule type="cellIs" priority="482" dxfId="338" operator="lessThan" stopIfTrue="1">
      <formula>H12+H24+H25+H26-H27-(0.01*(H12+H24+H25+H26-H27))</formula>
    </cfRule>
  </conditionalFormatting>
  <conditionalFormatting sqref="J30">
    <cfRule type="cellIs" priority="477" dxfId="338" operator="lessThan" stopIfTrue="1">
      <formula>0.99*(J28-J29)</formula>
    </cfRule>
  </conditionalFormatting>
  <conditionalFormatting sqref="J28">
    <cfRule type="cellIs" priority="479" dxfId="338" operator="lessThan" stopIfTrue="1">
      <formula>J12+J24+J25+J26-J27-(0.01*(J12+J24+J25+J26-J27))</formula>
    </cfRule>
  </conditionalFormatting>
  <conditionalFormatting sqref="L30">
    <cfRule type="cellIs" priority="474" dxfId="338" operator="lessThan" stopIfTrue="1">
      <formula>0.99*(L28-L29)</formula>
    </cfRule>
  </conditionalFormatting>
  <conditionalFormatting sqref="L28">
    <cfRule type="cellIs" priority="476" dxfId="338" operator="lessThan" stopIfTrue="1">
      <formula>L12+L24+L25+L26-L27-(0.01*(L12+L24+L25+L26-L27))</formula>
    </cfRule>
  </conditionalFormatting>
  <conditionalFormatting sqref="P30">
    <cfRule type="cellIs" priority="471" dxfId="338" operator="lessThan" stopIfTrue="1">
      <formula>0.99*(P28-P29)</formula>
    </cfRule>
  </conditionalFormatting>
  <conditionalFormatting sqref="P28">
    <cfRule type="cellIs" priority="473" dxfId="338" operator="lessThan" stopIfTrue="1">
      <formula>P12+P24+P25+P26-P27-(0.01*(P12+P24+P25+P26-P27))</formula>
    </cfRule>
  </conditionalFormatting>
  <conditionalFormatting sqref="R30">
    <cfRule type="cellIs" priority="468" dxfId="338" operator="lessThan" stopIfTrue="1">
      <formula>0.99*(R28-R29)</formula>
    </cfRule>
  </conditionalFormatting>
  <conditionalFormatting sqref="R28">
    <cfRule type="cellIs" priority="470" dxfId="338" operator="lessThan" stopIfTrue="1">
      <formula>R12+R24+R25+R26-R27-(0.01*(R12+R24+R25+R26-R27))</formula>
    </cfRule>
  </conditionalFormatting>
  <conditionalFormatting sqref="T30">
    <cfRule type="cellIs" priority="465" dxfId="338" operator="lessThan" stopIfTrue="1">
      <formula>0.99*(T28-T29)</formula>
    </cfRule>
  </conditionalFormatting>
  <conditionalFormatting sqref="T28">
    <cfRule type="cellIs" priority="467" dxfId="338" operator="lessThan" stopIfTrue="1">
      <formula>T12+T24+T25+T26-T27-(0.01*(T12+T24+T25+T26-T27))</formula>
    </cfRule>
  </conditionalFormatting>
  <conditionalFormatting sqref="V30">
    <cfRule type="cellIs" priority="462" dxfId="338" operator="lessThan" stopIfTrue="1">
      <formula>0.99*(V28-V29)</formula>
    </cfRule>
  </conditionalFormatting>
  <conditionalFormatting sqref="V28">
    <cfRule type="cellIs" priority="464" dxfId="338" operator="lessThan" stopIfTrue="1">
      <formula>V12+V24+V25+V26-V27-(0.01*(V12+V24+V25+V26-V27))</formula>
    </cfRule>
  </conditionalFormatting>
  <conditionalFormatting sqref="AP30">
    <cfRule type="cellIs" priority="435" dxfId="338" operator="lessThan" stopIfTrue="1">
      <formula>0.99*(AP28-AP29)</formula>
    </cfRule>
  </conditionalFormatting>
  <conditionalFormatting sqref="AR30">
    <cfRule type="cellIs" priority="432" dxfId="338" operator="lessThan" stopIfTrue="1">
      <formula>0.99*(AR28-AR29)</formula>
    </cfRule>
  </conditionalFormatting>
  <conditionalFormatting sqref="AT30">
    <cfRule type="cellIs" priority="429" dxfId="338" operator="lessThan" stopIfTrue="1">
      <formula>0.99*(AT28-AT29)</formula>
    </cfRule>
  </conditionalFormatting>
  <conditionalFormatting sqref="N30">
    <cfRule type="cellIs" priority="420" dxfId="338" operator="lessThan" stopIfTrue="1">
      <formula>0.99*(N28-N29)</formula>
    </cfRule>
  </conditionalFormatting>
  <conditionalFormatting sqref="N28">
    <cfRule type="cellIs" priority="422" dxfId="338" operator="lessThan" stopIfTrue="1">
      <formula>N12+N24+N25+N26-N27-(0.01*(N12+N24+N25+N26-N27))</formula>
    </cfRule>
  </conditionalFormatting>
  <conditionalFormatting sqref="AV30">
    <cfRule type="cellIs" priority="377" dxfId="338" operator="lessThan" stopIfTrue="1">
      <formula>0.99*(AV28-AV29)</formula>
    </cfRule>
  </conditionalFormatting>
  <conditionalFormatting sqref="AV28">
    <cfRule type="cellIs" priority="379" dxfId="338" operator="lessThan" stopIfTrue="1">
      <formula>AV12+AV24+AV25+AV26-AV27-(0.01*(AV12+AV24+AV25+AV26-AV27))</formula>
    </cfRule>
  </conditionalFormatting>
  <conditionalFormatting sqref="R10">
    <cfRule type="cellIs" priority="308" dxfId="338" operator="lessThan" stopIfTrue="1">
      <formula>0.99*(R8+R9)</formula>
    </cfRule>
  </conditionalFormatting>
  <conditionalFormatting sqref="F10">
    <cfRule type="cellIs" priority="313" dxfId="338" operator="lessThan" stopIfTrue="1">
      <formula>0.99*(F8+F9)</formula>
    </cfRule>
  </conditionalFormatting>
  <conditionalFormatting sqref="H10">
    <cfRule type="cellIs" priority="312" dxfId="338" operator="lessThan" stopIfTrue="1">
      <formula>0.99*(H8+H9)</formula>
    </cfRule>
  </conditionalFormatting>
  <conditionalFormatting sqref="J10">
    <cfRule type="cellIs" priority="311" dxfId="338" operator="lessThan" stopIfTrue="1">
      <formula>0.99*(J8+J9)</formula>
    </cfRule>
  </conditionalFormatting>
  <conditionalFormatting sqref="L10">
    <cfRule type="cellIs" priority="310" dxfId="338" operator="lessThan" stopIfTrue="1">
      <formula>0.99*(L8+L9)</formula>
    </cfRule>
  </conditionalFormatting>
  <conditionalFormatting sqref="P10">
    <cfRule type="cellIs" priority="309" dxfId="338" operator="lessThan" stopIfTrue="1">
      <formula>0.99*(P8+P9)</formula>
    </cfRule>
  </conditionalFormatting>
  <conditionalFormatting sqref="T10">
    <cfRule type="cellIs" priority="307" dxfId="338" operator="lessThan" stopIfTrue="1">
      <formula>0.99*(T8+T9)</formula>
    </cfRule>
  </conditionalFormatting>
  <conditionalFormatting sqref="V10">
    <cfRule type="cellIs" priority="306" dxfId="338" operator="lessThan" stopIfTrue="1">
      <formula>0.99*(V8+V9)</formula>
    </cfRule>
  </conditionalFormatting>
  <conditionalFormatting sqref="X10">
    <cfRule type="cellIs" priority="305" dxfId="338" operator="lessThan" stopIfTrue="1">
      <formula>0.99*(X8+X9)</formula>
    </cfRule>
  </conditionalFormatting>
  <conditionalFormatting sqref="Z10">
    <cfRule type="cellIs" priority="304" dxfId="338" operator="lessThan" stopIfTrue="1">
      <formula>0.99*(Z8+Z9)</formula>
    </cfRule>
  </conditionalFormatting>
  <conditionalFormatting sqref="AB10">
    <cfRule type="cellIs" priority="303" dxfId="338" operator="lessThan" stopIfTrue="1">
      <formula>0.99*(AB8+AB9)</formula>
    </cfRule>
  </conditionalFormatting>
  <conditionalFormatting sqref="AD10">
    <cfRule type="cellIs" priority="302" dxfId="338" operator="lessThan" stopIfTrue="1">
      <formula>0.99*(AD8+AD9)</formula>
    </cfRule>
  </conditionalFormatting>
  <conditionalFormatting sqref="AJ10">
    <cfRule type="cellIs" priority="300" dxfId="338" operator="lessThan" stopIfTrue="1">
      <formula>0.99*(AJ8+AJ9)</formula>
    </cfRule>
  </conditionalFormatting>
  <conditionalFormatting sqref="AH10">
    <cfRule type="cellIs" priority="301" dxfId="338" operator="lessThan" stopIfTrue="1">
      <formula>0.99*(AH8+AH9)</formula>
    </cfRule>
  </conditionalFormatting>
  <conditionalFormatting sqref="AL10">
    <cfRule type="cellIs" priority="299" dxfId="338" operator="lessThan" stopIfTrue="1">
      <formula>0.99*(AL8+AL9)</formula>
    </cfRule>
  </conditionalFormatting>
  <conditionalFormatting sqref="AN10">
    <cfRule type="cellIs" priority="298" dxfId="338" operator="lessThan" stopIfTrue="1">
      <formula>0.99*(AN8+AN9)</formula>
    </cfRule>
  </conditionalFormatting>
  <conditionalFormatting sqref="AP10">
    <cfRule type="cellIs" priority="297" dxfId="338" operator="lessThan" stopIfTrue="1">
      <formula>0.99*(AP8+AP9)</formula>
    </cfRule>
  </conditionalFormatting>
  <conditionalFormatting sqref="AR10">
    <cfRule type="cellIs" priority="296" dxfId="338" operator="lessThan" stopIfTrue="1">
      <formula>0.99*(AR8+AR9)</formula>
    </cfRule>
  </conditionalFormatting>
  <conditionalFormatting sqref="AT10">
    <cfRule type="cellIs" priority="295" dxfId="338" operator="lessThan" stopIfTrue="1">
      <formula>0.99*(AT8+AT9)</formula>
    </cfRule>
  </conditionalFormatting>
  <conditionalFormatting sqref="AF10">
    <cfRule type="cellIs" priority="293" dxfId="338" operator="lessThan" stopIfTrue="1">
      <formula>0.99*(AF8+AF9)</formula>
    </cfRule>
  </conditionalFormatting>
  <conditionalFormatting sqref="N10">
    <cfRule type="cellIs" priority="292" dxfId="338" operator="lessThan" stopIfTrue="1">
      <formula>0.99*(N8+N9)</formula>
    </cfRule>
  </conditionalFormatting>
  <conditionalFormatting sqref="AV10">
    <cfRule type="cellIs" priority="291" dxfId="338" operator="lessThan" stopIfTrue="1">
      <formula>0.99*(AV8+AV9)</formula>
    </cfRule>
  </conditionalFormatting>
  <conditionalFormatting sqref="AY30">
    <cfRule type="cellIs" priority="53" dxfId="338" operator="lessThan" stopIfTrue="1">
      <formula>AY28-AY29-(0.01*(AY28-AY29))</formula>
    </cfRule>
  </conditionalFormatting>
  <conditionalFormatting sqref="BC29">
    <cfRule type="cellIs" priority="10" dxfId="338" operator="lessThan" stopIfTrue="1">
      <formula>#REF!+#REF!</formula>
    </cfRule>
    <cfRule type="cellIs" priority="11" dxfId="338" operator="lessThan" stopIfTrue="1">
      <formula>#REF!+BC32+BC33+BC34+BC36+#REF!</formula>
    </cfRule>
  </conditionalFormatting>
  <conditionalFormatting sqref="BC8">
    <cfRule type="cellIs" priority="12" dxfId="338" operator="lessThan" stopIfTrue="1">
      <formula>#REF!+#REF!</formula>
    </cfRule>
    <cfRule type="cellIs" priority="13" dxfId="338" operator="lessThan" stopIfTrue="1">
      <formula>BC10+BC13+BC14+BC15+BC16+BC19</formula>
    </cfRule>
  </conditionalFormatting>
  <conditionalFormatting sqref="BC38:BC39">
    <cfRule type="cellIs" priority="14" dxfId="338" operator="lessThan" stopIfTrue="1">
      <formula>#REF!+BC49</formula>
    </cfRule>
    <cfRule type="cellIs" priority="15" dxfId="338" operator="lessThan" stopIfTrue="1">
      <formula>#REF!+#REF!+#REF!+#REF!+#REF!+#REF!</formula>
    </cfRule>
  </conditionalFormatting>
  <conditionalFormatting sqref="BC40">
    <cfRule type="cellIs" priority="16" dxfId="338" operator="lessThan" stopIfTrue="1">
      <formula>#REF!+BC51</formula>
    </cfRule>
    <cfRule type="cellIs" priority="17" dxfId="338" operator="lessThan" stopIfTrue="1">
      <formula>#REF!+#REF!+#REF!+#REF!+#REF!+#REF!</formula>
    </cfRule>
  </conditionalFormatting>
  <conditionalFormatting sqref="BC57:CL57 BC48:CL48 CN48 CN57 CP57 CP48 CR48 CR57 CT57 CT48 BC54:CT54 BC51:CT51">
    <cfRule type="cellIs" priority="18" dxfId="338" operator="equal" stopIfTrue="1">
      <formula>"&lt;&gt;"</formula>
    </cfRule>
  </conditionalFormatting>
  <conditionalFormatting sqref="BG8:CS40">
    <cfRule type="cellIs" priority="19" dxfId="338" operator="equal" stopIfTrue="1">
      <formula>"&gt; 25%"</formula>
    </cfRule>
  </conditionalFormatting>
  <conditionalFormatting sqref="BE8:BE40">
    <cfRule type="cellIs" priority="20" dxfId="338" operator="equal" stopIfTrue="1">
      <formula>"&gt; 100%"</formula>
    </cfRule>
  </conditionalFormatting>
  <conditionalFormatting sqref="BC33">
    <cfRule type="cellIs" priority="21" dxfId="338" operator="lessThan" stopIfTrue="1">
      <formula>#REF!+#REF!</formula>
    </cfRule>
    <cfRule type="cellIs" priority="22" dxfId="338" operator="lessThan" stopIfTrue="1">
      <formula>BC36+#REF!+#REF!+#REF!+#REF!+#REF!</formula>
    </cfRule>
  </conditionalFormatting>
  <conditionalFormatting sqref="BC32">
    <cfRule type="cellIs" priority="23" dxfId="338" operator="lessThan" stopIfTrue="1">
      <formula>#REF!+#REF!</formula>
    </cfRule>
    <cfRule type="cellIs" priority="24" dxfId="338" operator="lessThan" stopIfTrue="1">
      <formula>BC34+BC36+#REF!+#REF!+#REF!+#REF!</formula>
    </cfRule>
  </conditionalFormatting>
  <conditionalFormatting sqref="BC34:BC35">
    <cfRule type="cellIs" priority="25" dxfId="338" operator="lessThan" stopIfTrue="1">
      <formula>#REF!+#REF!</formula>
    </cfRule>
    <cfRule type="cellIs" priority="26" dxfId="338" operator="lessThan" stopIfTrue="1">
      <formula>#REF!+#REF!+#REF!+#REF!+#REF!+#REF!</formula>
    </cfRule>
  </conditionalFormatting>
  <conditionalFormatting sqref="BC36:BC37">
    <cfRule type="cellIs" priority="27" dxfId="338" operator="lessThan" stopIfTrue="1">
      <formula>#REF!+BC48</formula>
    </cfRule>
    <cfRule type="cellIs" priority="28" dxfId="338" operator="lessThan" stopIfTrue="1">
      <formula>BC40+#REF!+#REF!+#REF!+#REF!+#REF!</formula>
    </cfRule>
  </conditionalFormatting>
  <conditionalFormatting sqref="BC27">
    <cfRule type="cellIs" priority="29" dxfId="338" operator="lessThan" stopIfTrue="1">
      <formula>BC47+#REF!</formula>
    </cfRule>
    <cfRule type="cellIs" priority="30" dxfId="338" operator="lessThan" stopIfTrue="1">
      <formula>#REF!+#REF!+#REF!+#REF!+#REF!+BC42</formula>
    </cfRule>
  </conditionalFormatting>
  <conditionalFormatting sqref="BC28">
    <cfRule type="cellIs" priority="31" dxfId="338" operator="lessThan" stopIfTrue="1">
      <formula>BC48+#REF!</formula>
    </cfRule>
    <cfRule type="cellIs" priority="32" dxfId="338" operator="lessThan" stopIfTrue="1">
      <formula>#REF!+#REF!+#REF!+#REF!+BC42+BC46</formula>
    </cfRule>
  </conditionalFormatting>
  <conditionalFormatting sqref="BC26">
    <cfRule type="cellIs" priority="33" dxfId="338" operator="lessThan" stopIfTrue="1">
      <formula>BC46+#REF!</formula>
    </cfRule>
    <cfRule type="cellIs" priority="34" dxfId="338" operator="lessThan" stopIfTrue="1">
      <formula>BC28+#REF!+#REF!+#REF!+#REF!+#REF!</formula>
    </cfRule>
  </conditionalFormatting>
  <conditionalFormatting sqref="BC9">
    <cfRule type="cellIs" priority="35" dxfId="338" operator="lessThan" stopIfTrue="1">
      <formula>#REF!+#REF!</formula>
    </cfRule>
    <cfRule type="cellIs" priority="36" dxfId="338" operator="lessThan" stopIfTrue="1">
      <formula>#REF!+BC14+BC15+BC16+BC19+#REF!</formula>
    </cfRule>
  </conditionalFormatting>
  <conditionalFormatting sqref="BC13">
    <cfRule type="cellIs" priority="37" dxfId="338" operator="lessThan" stopIfTrue="1">
      <formula>#REF!+#REF!</formula>
    </cfRule>
    <cfRule type="cellIs" priority="38" dxfId="338" operator="lessThan" stopIfTrue="1">
      <formula>BC15+BC16+BC19+#REF!+#REF!+#REF!</formula>
    </cfRule>
  </conditionalFormatting>
  <conditionalFormatting sqref="BC30">
    <cfRule type="cellIs" priority="39" dxfId="338" operator="lessThan" stopIfTrue="1">
      <formula>#REF!+#REF!</formula>
    </cfRule>
    <cfRule type="cellIs" priority="40" dxfId="338" operator="lessThan" stopIfTrue="1">
      <formula>BC32+BC33+BC34+BC36+#REF!+#REF!</formula>
    </cfRule>
  </conditionalFormatting>
  <conditionalFormatting sqref="BC31">
    <cfRule type="cellIs" priority="41" dxfId="338" operator="lessThan" stopIfTrue="1">
      <formula>#REF!+#REF!</formula>
    </cfRule>
    <cfRule type="cellIs" priority="42" dxfId="338" operator="lessThan" stopIfTrue="1">
      <formula>BC33+BC34+BC36+#REF!+#REF!+#REF!</formula>
    </cfRule>
  </conditionalFormatting>
  <conditionalFormatting sqref="BC18">
    <cfRule type="cellIs" priority="43" dxfId="338" operator="lessThan" stopIfTrue="1">
      <formula>BC41+#REF!</formula>
    </cfRule>
    <cfRule type="cellIs" priority="44" dxfId="338" operator="lessThan" stopIfTrue="1">
      <formula>#REF!+#REF!+#REF!+#REF!+#REF!+BC36</formula>
    </cfRule>
  </conditionalFormatting>
  <conditionalFormatting sqref="BC16">
    <cfRule type="cellIs" priority="45" dxfId="338" operator="lessThan" stopIfTrue="1">
      <formula>BC38+#REF!</formula>
    </cfRule>
    <cfRule type="cellIs" priority="46" dxfId="338" operator="lessThan" stopIfTrue="1">
      <formula>#REF!+#REF!+#REF!+#REF!+#REF!+BC33</formula>
    </cfRule>
  </conditionalFormatting>
  <conditionalFormatting sqref="BC19">
    <cfRule type="cellIs" priority="47" dxfId="338" operator="lessThan" stopIfTrue="1">
      <formula>BC40+#REF!</formula>
    </cfRule>
    <cfRule type="cellIs" priority="48" dxfId="338" operator="lessThan" stopIfTrue="1">
      <formula>#REF!+#REF!+#REF!+#REF!+BC33+BC36</formula>
    </cfRule>
  </conditionalFormatting>
  <conditionalFormatting sqref="BC20">
    <cfRule type="cellIs" priority="49" dxfId="338" operator="lessThan" stopIfTrue="1">
      <formula>BC41+#REF!</formula>
    </cfRule>
    <cfRule type="cellIs" priority="50" dxfId="338" operator="lessThan" stopIfTrue="1">
      <formula>#REF!+#REF!+#REF!+#REF!+BC34+BC38</formula>
    </cfRule>
  </conditionalFormatting>
  <conditionalFormatting sqref="BC17">
    <cfRule type="cellIs" priority="51" dxfId="338" operator="lessThan" stopIfTrue="1">
      <formula>BC40+#REF!</formula>
    </cfRule>
    <cfRule type="cellIs" priority="52" dxfId="338" operator="lessThan" stopIfTrue="1">
      <formula>#REF!+#REF!+#REF!+#REF!+#REF!+BC34</formula>
    </cfRule>
  </conditionalFormatting>
  <conditionalFormatting sqref="CM57 CM48">
    <cfRule type="cellIs" priority="9" dxfId="338" operator="equal" stopIfTrue="1">
      <formula>"&lt;&gt;"</formula>
    </cfRule>
  </conditionalFormatting>
  <conditionalFormatting sqref="CO57 CO48">
    <cfRule type="cellIs" priority="8" dxfId="338" operator="equal" stopIfTrue="1">
      <formula>"&lt;&gt;"</formula>
    </cfRule>
  </conditionalFormatting>
  <conditionalFormatting sqref="CQ57 CQ48">
    <cfRule type="cellIs" priority="7" dxfId="338" operator="equal" stopIfTrue="1">
      <formula>"&lt;&gt;"</formula>
    </cfRule>
  </conditionalFormatting>
  <conditionalFormatting sqref="CS57 CS48">
    <cfRule type="cellIs" priority="6" dxfId="338" operator="equal" stopIfTrue="1">
      <formula>"&lt;&gt;"</formula>
    </cfRule>
  </conditionalFormatting>
  <conditionalFormatting sqref="BC10">
    <cfRule type="cellIs" priority="54" dxfId="338" operator="lessThan" stopIfTrue="1">
      <formula>#REF!+#REF!</formula>
    </cfRule>
    <cfRule type="cellIs" priority="55" dxfId="338" operator="lessThan" stopIfTrue="1">
      <formula>BC14+BC15+BC16+BC19+#REF!+#REF!</formula>
    </cfRule>
  </conditionalFormatting>
  <conditionalFormatting sqref="BC23">
    <cfRule type="cellIs" priority="56" dxfId="338" operator="lessThan" stopIfTrue="1">
      <formula>#REF!+#REF!</formula>
    </cfRule>
    <cfRule type="cellIs" priority="57" dxfId="338" operator="lessThan" stopIfTrue="1">
      <formula>BC25+BC26+BC27+BC28+#REF!+#REF!</formula>
    </cfRule>
  </conditionalFormatting>
  <conditionalFormatting sqref="BC24">
    <cfRule type="cellIs" priority="58" dxfId="338" operator="lessThan" stopIfTrue="1">
      <formula>#REF!+#REF!</formula>
    </cfRule>
    <cfRule type="cellIs" priority="59" dxfId="338" operator="lessThan" stopIfTrue="1">
      <formula>BC26+BC27+BC28+#REF!+#REF!+#REF!</formula>
    </cfRule>
  </conditionalFormatting>
  <conditionalFormatting sqref="BC15">
    <cfRule type="cellIs" priority="60" dxfId="338" operator="lessThan" stopIfTrue="1">
      <formula>BC36+#REF!</formula>
    </cfRule>
    <cfRule type="cellIs" priority="61" dxfId="338" operator="lessThan" stopIfTrue="1">
      <formula>BC19+#REF!+#REF!+#REF!+#REF!+#REF!</formula>
    </cfRule>
  </conditionalFormatting>
  <conditionalFormatting sqref="BC14">
    <cfRule type="cellIs" priority="62" dxfId="338" operator="lessThan" stopIfTrue="1">
      <formula>BC33+#REF!</formula>
    </cfRule>
    <cfRule type="cellIs" priority="63" dxfId="338" operator="lessThan" stopIfTrue="1">
      <formula>BC16+BC19+#REF!+#REF!+#REF!+#REF!</formula>
    </cfRule>
  </conditionalFormatting>
  <conditionalFormatting sqref="BC25">
    <cfRule type="cellIs" priority="64" dxfId="338" operator="lessThan" stopIfTrue="1">
      <formula>BC42+#REF!</formula>
    </cfRule>
    <cfRule type="cellIs" priority="65" dxfId="338" operator="lessThan" stopIfTrue="1">
      <formula>BC27+BC28+#REF!+#REF!+#REF!+#REF!</formula>
    </cfRule>
  </conditionalFormatting>
  <conditionalFormatting sqref="BC21:BC22">
    <cfRule type="cellIs" priority="66" dxfId="338" operator="lessThan" stopIfTrue="1">
      <formula>#REF!+#REF!</formula>
    </cfRule>
    <cfRule type="cellIs" priority="67" dxfId="338" operator="lessThan" stopIfTrue="1">
      <formula>#REF!+BC25+BC26+BC27+BC28+#REF!</formula>
    </cfRule>
  </conditionalFormatting>
  <conditionalFormatting sqref="BC11:BC12">
    <cfRule type="cellIs" priority="4" dxfId="338" operator="lessThan" stopIfTrue="1">
      <formula>#REF!+#REF!</formula>
    </cfRule>
    <cfRule type="cellIs" priority="5" dxfId="338" operator="lessThan" stopIfTrue="1">
      <formula>BC15+BC16+BC17+BC20+#REF!+#REF!</formula>
    </cfRule>
  </conditionalFormatting>
  <conditionalFormatting sqref="X30 Z30 AB30 AD30 AJ30 AH30 AL30 AN30 AF30">
    <cfRule type="cellIs" priority="486" dxfId="338" operator="lessThan" stopIfTrue="1">
      <formula>X12+X24+X25+X28-X29-(0.01*(X12+X24+X25+X28-X29))</formula>
    </cfRule>
  </conditionalFormatting>
  <conditionalFormatting sqref="AP28">
    <cfRule type="cellIs" priority="3" dxfId="338" operator="lessThan" stopIfTrue="1">
      <formula>0.99*(AP26+AP27)</formula>
    </cfRule>
  </conditionalFormatting>
  <conditionalFormatting sqref="AR28">
    <cfRule type="cellIs" priority="2" dxfId="338" operator="lessThan" stopIfTrue="1">
      <formula>0.99*(AR26+AR27)</formula>
    </cfRule>
  </conditionalFormatting>
  <conditionalFormatting sqref="AT28">
    <cfRule type="cellIs" priority="1" dxfId="338" operator="lessThan" stopIfTrue="1">
      <formula>0.99*(AT26+AT27)</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J74"/>
  <sheetViews>
    <sheetView showGridLines="0" zoomScale="80" zoomScaleNormal="80" zoomScaleSheetLayoutView="40" workbookViewId="0" topLeftCell="C1">
      <selection activeCell="F8" sqref="F8"/>
    </sheetView>
  </sheetViews>
  <sheetFormatPr defaultColWidth="9.33203125" defaultRowHeight="12.75"/>
  <cols>
    <col min="1" max="1" width="9.16015625" style="136" hidden="1" customWidth="1"/>
    <col min="2" max="2" width="11.66015625" style="137" hidden="1" customWidth="1"/>
    <col min="3" max="3" width="8.33203125" style="150" customWidth="1"/>
    <col min="4" max="4" width="40"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v>20</v>
      </c>
      <c r="C3" s="296" t="s">
        <v>312</v>
      </c>
      <c r="D3" s="31" t="s">
        <v>134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72"/>
      <c r="AZ3" s="303" t="s">
        <v>403</v>
      </c>
      <c r="BA3" s="373"/>
      <c r="BB3" s="373"/>
      <c r="BC3" s="304"/>
      <c r="BD3" s="304"/>
      <c r="BE3" s="304"/>
      <c r="BF3" s="304"/>
      <c r="BG3" s="875"/>
      <c r="BH3" s="875"/>
      <c r="BI3" s="875"/>
      <c r="BJ3" s="375"/>
      <c r="BK3" s="375"/>
      <c r="BL3" s="375"/>
      <c r="BM3" s="875"/>
      <c r="BN3" s="875"/>
      <c r="BO3" s="875"/>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26" t="s">
        <v>470</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457</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77"/>
      <c r="AH6" s="878"/>
      <c r="AI6" s="878"/>
      <c r="AJ6" s="878"/>
      <c r="AK6" s="878"/>
      <c r="AL6" s="878"/>
      <c r="AM6" s="878"/>
      <c r="AN6" s="878"/>
      <c r="AO6" s="878"/>
      <c r="AP6" s="878"/>
      <c r="AQ6" s="878"/>
      <c r="AR6" s="878"/>
      <c r="AS6" s="878"/>
      <c r="AT6" s="878"/>
      <c r="AU6" s="878"/>
      <c r="AV6" s="878"/>
      <c r="AW6" s="878"/>
      <c r="AX6" s="174"/>
      <c r="AY6" s="17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291</v>
      </c>
      <c r="D7" s="181" t="s">
        <v>292</v>
      </c>
      <c r="E7" s="181" t="s">
        <v>293</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256</v>
      </c>
      <c r="E8" s="210" t="s">
        <v>294</v>
      </c>
      <c r="F8" s="493"/>
      <c r="G8" s="504"/>
      <c r="H8" s="493"/>
      <c r="I8" s="504"/>
      <c r="J8" s="493"/>
      <c r="K8" s="504"/>
      <c r="L8" s="493"/>
      <c r="M8" s="504"/>
      <c r="N8" s="493"/>
      <c r="O8" s="504"/>
      <c r="P8" s="493"/>
      <c r="Q8" s="504"/>
      <c r="R8" s="493"/>
      <c r="S8" s="504"/>
      <c r="T8" s="493"/>
      <c r="U8" s="504"/>
      <c r="V8" s="493"/>
      <c r="W8" s="504"/>
      <c r="X8" s="493">
        <v>11.373446464538574</v>
      </c>
      <c r="Y8" s="504" t="s">
        <v>704</v>
      </c>
      <c r="Z8" s="493">
        <v>11.39743423461914</v>
      </c>
      <c r="AA8" s="504" t="s">
        <v>704</v>
      </c>
      <c r="AB8" s="493">
        <v>10.249262809753418</v>
      </c>
      <c r="AC8" s="504" t="s">
        <v>704</v>
      </c>
      <c r="AD8" s="493">
        <v>10.684144020080566</v>
      </c>
      <c r="AE8" s="504" t="s">
        <v>704</v>
      </c>
      <c r="AF8" s="493">
        <v>10.773123741149902</v>
      </c>
      <c r="AG8" s="504" t="s">
        <v>704</v>
      </c>
      <c r="AH8" s="493">
        <v>11.218287467956543</v>
      </c>
      <c r="AI8" s="504" t="s">
        <v>704</v>
      </c>
      <c r="AJ8" s="493">
        <v>12.138815879821777</v>
      </c>
      <c r="AK8" s="504" t="s">
        <v>704</v>
      </c>
      <c r="AL8" s="493">
        <v>10.92437744140625</v>
      </c>
      <c r="AM8" s="504" t="s">
        <v>704</v>
      </c>
      <c r="AN8" s="493">
        <v>10.88717269897461</v>
      </c>
      <c r="AO8" s="504" t="s">
        <v>704</v>
      </c>
      <c r="AP8" s="493">
        <v>12.01</v>
      </c>
      <c r="AQ8" s="504" t="s">
        <v>704</v>
      </c>
      <c r="AR8" s="493">
        <f>AR9+AR10</f>
        <v>13.008</v>
      </c>
      <c r="AS8" s="504" t="s">
        <v>704</v>
      </c>
      <c r="AT8" s="493">
        <f>AT9+AT10</f>
        <v>10.824</v>
      </c>
      <c r="AU8" s="504" t="s">
        <v>704</v>
      </c>
      <c r="AV8" s="493"/>
      <c r="AW8" s="504"/>
      <c r="AY8" s="148"/>
      <c r="AZ8" s="558">
        <v>1</v>
      </c>
      <c r="BA8" s="581" t="s">
        <v>379</v>
      </c>
      <c r="BB8" s="519" t="s">
        <v>596</v>
      </c>
      <c r="BC8" s="194" t="s">
        <v>428</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N/A</v>
      </c>
      <c r="BR8" s="57"/>
      <c r="BS8" s="57" t="str">
        <f>IF(OR(ISBLANK(T8),ISBLANK(V8)),"N/A",IF(ABS((V8-T8)/T8)&gt;0.25,"&gt; 25%","ok"))</f>
        <v>N/A</v>
      </c>
      <c r="BT8" s="57"/>
      <c r="BU8" s="57" t="str">
        <f>IF(OR(ISBLANK(V8),ISBLANK(X8)),"N/A",IF(ABS((X8-V8)/V8)&gt;0.25,"&gt; 25%","ok"))</f>
        <v>N/A</v>
      </c>
      <c r="BV8" s="57"/>
      <c r="BW8" s="57" t="str">
        <f>IF(OR(ISBLANK(X8),ISBLANK(Z8)),"N/A",IF(ABS((Z8-X8)/X8)&gt;0.25,"&gt; 25%","ok"))</f>
        <v>ok</v>
      </c>
      <c r="BX8" s="57"/>
      <c r="BY8" s="57" t="str">
        <f>IF(OR(ISBLANK(Z8),ISBLANK(AB8)),"N/A",IF(ABS((AB8-Z8)/Z8)&gt;0.25,"&gt; 25%","ok"))</f>
        <v>ok</v>
      </c>
      <c r="BZ8" s="57"/>
      <c r="CA8" s="57" t="str">
        <f>IF(OR(ISBLANK(AB8),ISBLANK(AD8)),"N/A",IF(ABS((AD8-AB8)/AB8)&gt;0.25,"&gt; 25%","ok"))</f>
        <v>ok</v>
      </c>
      <c r="CB8" s="57"/>
      <c r="CC8" s="57" t="str">
        <f>IF(OR(ISBLANK(AD8),ISBLANK(AF8)),"N/A",IF(ABS((AF8-AD8)/AD8)&gt;0.25,"&gt; 25%","ok"))</f>
        <v>ok</v>
      </c>
      <c r="CD8" s="57"/>
      <c r="CE8" s="57" t="str">
        <f>IF(OR(ISBLANK(AF8),ISBLANK(AH8)),"N/A",IF(ABS((AH8-AF8)/AF8)&gt;0.25,"&gt; 25%","ok"))</f>
        <v>ok</v>
      </c>
      <c r="CF8" s="57"/>
      <c r="CG8" s="57" t="str">
        <f>IF(OR(ISBLANK(AH8),ISBLANK(AJ8)),"N/A",IF(ABS((AJ8-AH8)/AH8)&gt;0.25,"&gt; 25%","ok"))</f>
        <v>ok</v>
      </c>
      <c r="CH8" s="57"/>
      <c r="CI8" s="57" t="str">
        <f>IF(OR(ISBLANK(AJ8),ISBLANK(AL8)),"N/A",IF(ABS((AL8-AJ8)/AJ8)&gt;0.25,"&gt; 25%","ok"))</f>
        <v>ok</v>
      </c>
      <c r="CJ8" s="57"/>
      <c r="CK8" s="57" t="str">
        <f>IF(OR(ISBLANK(AL8),ISBLANK(AN8)),"N/A",IF(ABS((AN8-AL8)/AL8)&gt;0.25,"&gt; 25%","ok"))</f>
        <v>ok</v>
      </c>
      <c r="CL8" s="57"/>
      <c r="CM8" s="57" t="str">
        <f>IF(OR(ISBLANK(AN8),ISBLANK(AP8)),"N/A",IF(ABS((AP8-AN8)/AN8)&gt;0.25,"&gt; 25%","ok"))</f>
        <v>ok</v>
      </c>
      <c r="CN8" s="57"/>
      <c r="CO8" s="57" t="str">
        <f>IF(OR(ISBLANK(AP8),ISBLANK(AR8)),"N/A",IF(ABS((AR8-AP8)/AP8)&gt;0.25,"&gt; 25%","ok"))</f>
        <v>ok</v>
      </c>
      <c r="CP8" s="57"/>
      <c r="CQ8" s="57" t="str">
        <f>IF(OR(ISBLANK(AR8),ISBLANK(AT8)),"N/A",IF(ABS((AT8-AR8)/AR8)&gt;0.25,"&gt; 25%","ok"))</f>
        <v>ok</v>
      </c>
      <c r="CR8" s="57"/>
      <c r="CS8" s="57" t="str">
        <f>IF(OR(ISBLANK(AT8),ISBLANK(AV8)),"N/A",IF(ABS((AV8-AT8)/AT8)&gt;0.25,"&gt; 25%","ok"))</f>
        <v>N/A</v>
      </c>
      <c r="CT8" s="57"/>
    </row>
    <row r="9" spans="1:98" s="147" customFormat="1" ht="18" customHeight="1">
      <c r="A9" s="136"/>
      <c r="B9" s="186">
        <v>2416</v>
      </c>
      <c r="C9" s="207">
        <v>2</v>
      </c>
      <c r="D9" s="204" t="s">
        <v>330</v>
      </c>
      <c r="E9" s="210" t="s">
        <v>294</v>
      </c>
      <c r="F9" s="493"/>
      <c r="G9" s="504"/>
      <c r="H9" s="493"/>
      <c r="I9" s="504"/>
      <c r="J9" s="493"/>
      <c r="K9" s="504"/>
      <c r="L9" s="493"/>
      <c r="M9" s="504"/>
      <c r="N9" s="493"/>
      <c r="O9" s="504"/>
      <c r="P9" s="493"/>
      <c r="Q9" s="504"/>
      <c r="R9" s="493"/>
      <c r="S9" s="504"/>
      <c r="T9" s="493"/>
      <c r="U9" s="504"/>
      <c r="V9" s="493"/>
      <c r="W9" s="504"/>
      <c r="X9" s="493">
        <v>3.8206629753112793</v>
      </c>
      <c r="Y9" s="504" t="s">
        <v>705</v>
      </c>
      <c r="Z9" s="493">
        <v>4.22459077835083</v>
      </c>
      <c r="AA9" s="504" t="s">
        <v>705</v>
      </c>
      <c r="AB9" s="493">
        <v>3.4423749446868896</v>
      </c>
      <c r="AC9" s="504" t="s">
        <v>705</v>
      </c>
      <c r="AD9" s="493">
        <v>4.0938801765441895</v>
      </c>
      <c r="AE9" s="504" t="s">
        <v>705</v>
      </c>
      <c r="AF9" s="493">
        <v>4.270130157470703</v>
      </c>
      <c r="AG9" s="504" t="s">
        <v>705</v>
      </c>
      <c r="AH9" s="493">
        <v>4.823134899139404</v>
      </c>
      <c r="AI9" s="504" t="s">
        <v>705</v>
      </c>
      <c r="AJ9" s="493">
        <v>6.5229997634887695</v>
      </c>
      <c r="AK9" s="504" t="s">
        <v>705</v>
      </c>
      <c r="AL9" s="493">
        <v>4.956999778747559</v>
      </c>
      <c r="AM9" s="504" t="s">
        <v>705</v>
      </c>
      <c r="AN9" s="493">
        <v>4.876999855041504</v>
      </c>
      <c r="AO9" s="504" t="s">
        <v>705</v>
      </c>
      <c r="AP9" s="493">
        <f>'W2'!AP29</f>
        <v>5.800000000000001</v>
      </c>
      <c r="AQ9" s="504" t="s">
        <v>705</v>
      </c>
      <c r="AR9" s="493">
        <f>'W2'!AR29</f>
        <v>6.709999999999999</v>
      </c>
      <c r="AS9" s="504" t="s">
        <v>705</v>
      </c>
      <c r="AT9" s="493">
        <f>'W2'!AT29</f>
        <v>4.4399999999999995</v>
      </c>
      <c r="AU9" s="504" t="s">
        <v>705</v>
      </c>
      <c r="AV9" s="493"/>
      <c r="AW9" s="504"/>
      <c r="AY9" s="148"/>
      <c r="AZ9" s="519">
        <v>2</v>
      </c>
      <c r="BA9" s="582" t="s">
        <v>380</v>
      </c>
      <c r="BB9" s="519" t="s">
        <v>596</v>
      </c>
      <c r="BC9" s="56" t="s">
        <v>428</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ok</v>
      </c>
      <c r="BX9" s="57"/>
      <c r="BY9" s="57" t="str">
        <f>IF(OR(ISBLANK(Z9),ISBLANK(AB9)),"N/A",IF(ABS((AB9-Z9)/Z9)&gt;0.25,"&gt; 25%","ok"))</f>
        <v>ok</v>
      </c>
      <c r="BZ9" s="57"/>
      <c r="CA9" s="57" t="str">
        <f>IF(OR(ISBLANK(AB9),ISBLANK(AD9)),"N/A",IF(ABS((AD9-AB9)/AB9)&gt;0.25,"&gt; 25%","ok"))</f>
        <v>ok</v>
      </c>
      <c r="CB9" s="57"/>
      <c r="CC9" s="57" t="str">
        <f>IF(OR(ISBLANK(AD9),ISBLANK(AF9)),"N/A",IF(ABS((AF9-AD9)/AD9)&gt;0.25,"&gt; 25%","ok"))</f>
        <v>ok</v>
      </c>
      <c r="CD9" s="57"/>
      <c r="CE9" s="57" t="str">
        <f>IF(OR(ISBLANK(AF9),ISBLANK(AH9)),"N/A",IF(ABS((AH9-AF9)/AF9)&gt;0.25,"&gt; 25%","ok"))</f>
        <v>ok</v>
      </c>
      <c r="CF9" s="57"/>
      <c r="CG9" s="57" t="str">
        <f>IF(OR(ISBLANK(AH9),ISBLANK(AJ9)),"N/A",IF(ABS((AJ9-AH9)/AH9)&gt;0.25,"&gt; 25%","ok"))</f>
        <v>&gt; 25%</v>
      </c>
      <c r="CH9" s="57"/>
      <c r="CI9" s="57" t="str">
        <f>IF(OR(ISBLANK(AJ9),ISBLANK(AL9)),"N/A",IF(ABS((AL9-AJ9)/AJ9)&gt;0.25,"&gt; 25%","ok"))</f>
        <v>ok</v>
      </c>
      <c r="CJ9" s="57"/>
      <c r="CK9" s="57" t="str">
        <f>IF(OR(ISBLANK(AL9),ISBLANK(AN9)),"N/A",IF(ABS((AN9-AL9)/AL9)&gt;0.25,"&gt; 25%","ok"))</f>
        <v>ok</v>
      </c>
      <c r="CL9" s="57"/>
      <c r="CM9" s="57" t="str">
        <f aca="true" t="shared" si="1" ref="CM9:CM23">IF(OR(ISBLANK(AN9),ISBLANK(AP9)),"N/A",IF(ABS((AP9-AN9)/AN9)&gt;0.25,"&gt; 25%","ok"))</f>
        <v>ok</v>
      </c>
      <c r="CN9" s="57"/>
      <c r="CO9" s="57" t="str">
        <f aca="true" t="shared" si="2" ref="CO9:CO23">IF(OR(ISBLANK(AP9),ISBLANK(AR9)),"N/A",IF(ABS((AR9-AP9)/AP9)&gt;0.25,"&gt; 25%","ok"))</f>
        <v>ok</v>
      </c>
      <c r="CP9" s="57"/>
      <c r="CQ9" s="57" t="str">
        <f aca="true" t="shared" si="3" ref="CQ9:CQ23">IF(OR(ISBLANK(AR9),ISBLANK(AT9)),"N/A",IF(ABS((AT9-AR9)/AR9)&gt;0.25,"&gt; 25%","ok"))</f>
        <v>&gt; 25%</v>
      </c>
      <c r="CR9" s="57"/>
      <c r="CS9" s="57" t="str">
        <f aca="true" t="shared" si="4" ref="CS9:CS23">IF(OR(ISBLANK(AT9),ISBLANK(AV9)),"N/A",IF(ABS((AV9-AT9)/AT9)&gt;0.25,"&gt; 25%","ok"))</f>
        <v>N/A</v>
      </c>
      <c r="CT9" s="57"/>
    </row>
    <row r="10" spans="1:98" s="381" customFormat="1" ht="42" customHeight="1">
      <c r="A10" s="380" t="s">
        <v>420</v>
      </c>
      <c r="B10" s="186">
        <v>29</v>
      </c>
      <c r="C10" s="328">
        <v>3</v>
      </c>
      <c r="D10" s="206" t="s">
        <v>616</v>
      </c>
      <c r="E10" s="210" t="s">
        <v>294</v>
      </c>
      <c r="F10" s="493"/>
      <c r="G10" s="504"/>
      <c r="H10" s="493"/>
      <c r="I10" s="504"/>
      <c r="J10" s="493"/>
      <c r="K10" s="504"/>
      <c r="L10" s="493"/>
      <c r="M10" s="504"/>
      <c r="N10" s="493"/>
      <c r="O10" s="504"/>
      <c r="P10" s="493"/>
      <c r="Q10" s="504"/>
      <c r="R10" s="493"/>
      <c r="S10" s="504"/>
      <c r="T10" s="493"/>
      <c r="U10" s="504"/>
      <c r="V10" s="493"/>
      <c r="W10" s="504"/>
      <c r="X10" s="493">
        <v>7.552783012390137</v>
      </c>
      <c r="Y10" s="504" t="s">
        <v>706</v>
      </c>
      <c r="Z10" s="493">
        <v>7.172842979431152</v>
      </c>
      <c r="AA10" s="504" t="s">
        <v>706</v>
      </c>
      <c r="AB10" s="493">
        <v>6.806888103485107</v>
      </c>
      <c r="AC10" s="504" t="s">
        <v>706</v>
      </c>
      <c r="AD10" s="493">
        <v>6.590263843536377</v>
      </c>
      <c r="AE10" s="504" t="s">
        <v>706</v>
      </c>
      <c r="AF10" s="493">
        <v>6.502994060516357</v>
      </c>
      <c r="AG10" s="504" t="s">
        <v>706</v>
      </c>
      <c r="AH10" s="493">
        <v>6.3951520919799805</v>
      </c>
      <c r="AI10" s="504" t="s">
        <v>706</v>
      </c>
      <c r="AJ10" s="493">
        <v>5.615816116333008</v>
      </c>
      <c r="AK10" s="504" t="s">
        <v>706</v>
      </c>
      <c r="AL10" s="493">
        <v>5.967377185821533</v>
      </c>
      <c r="AM10" s="504" t="s">
        <v>706</v>
      </c>
      <c r="AN10" s="493">
        <v>6.0101728439331055</v>
      </c>
      <c r="AO10" s="504" t="s">
        <v>706</v>
      </c>
      <c r="AP10" s="493">
        <f>'W2'!AP32</f>
        <v>6.211</v>
      </c>
      <c r="AQ10" s="504" t="s">
        <v>706</v>
      </c>
      <c r="AR10" s="493">
        <f>'W2'!AR32</f>
        <v>6.298</v>
      </c>
      <c r="AS10" s="504" t="s">
        <v>706</v>
      </c>
      <c r="AT10" s="493">
        <f>'W2'!AT32</f>
        <v>6.384</v>
      </c>
      <c r="AU10" s="504" t="s">
        <v>706</v>
      </c>
      <c r="AV10" s="493"/>
      <c r="AW10" s="504"/>
      <c r="AY10" s="661"/>
      <c r="AZ10" s="558">
        <v>3</v>
      </c>
      <c r="BA10" s="581" t="s">
        <v>597</v>
      </c>
      <c r="BB10" s="519" t="s">
        <v>596</v>
      </c>
      <c r="BC10" s="56" t="s">
        <v>428</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N/A</v>
      </c>
      <c r="BR10" s="57"/>
      <c r="BS10" s="57" t="str">
        <f>IF(OR(ISBLANK(T10),ISBLANK(V10)),"N/A",IF(ABS((V10-T10)/T10)&gt;0.25,"&gt; 25%","ok"))</f>
        <v>N/A</v>
      </c>
      <c r="BT10" s="57"/>
      <c r="BU10" s="57" t="str">
        <f>IF(OR(ISBLANK(V10),ISBLANK(X10)),"N/A",IF(ABS((X10-V10)/V10)&gt;0.25,"&gt; 25%","ok"))</f>
        <v>N/A</v>
      </c>
      <c r="BV10" s="57"/>
      <c r="BW10" s="57" t="str">
        <f>IF(OR(ISBLANK(X10),ISBLANK(Z10)),"N/A",IF(ABS((Z10-X10)/X10)&gt;0.25,"&gt; 25%","ok"))</f>
        <v>ok</v>
      </c>
      <c r="BX10" s="57"/>
      <c r="BY10" s="57" t="str">
        <f>IF(OR(ISBLANK(Z10),ISBLANK(AB10)),"N/A",IF(ABS((AB10-Z10)/Z10)&gt;0.25,"&gt; 25%","ok"))</f>
        <v>ok</v>
      </c>
      <c r="BZ10" s="57"/>
      <c r="CA10" s="57" t="str">
        <f>IF(OR(ISBLANK(AB10),ISBLANK(AD10)),"N/A",IF(ABS((AD10-AB10)/AB10)&gt;0.25,"&gt; 25%","ok"))</f>
        <v>ok</v>
      </c>
      <c r="CB10" s="57"/>
      <c r="CC10" s="57" t="str">
        <f>IF(OR(ISBLANK(AD10),ISBLANK(AF10)),"N/A",IF(ABS((AF10-AD10)/AD10)&gt;0.25,"&gt; 25%","ok"))</f>
        <v>ok</v>
      </c>
      <c r="CD10" s="57"/>
      <c r="CE10" s="57" t="str">
        <f>IF(OR(ISBLANK(AF10),ISBLANK(AH10)),"N/A",IF(ABS((AH10-AF10)/AF10)&gt;0.25,"&gt; 25%","ok"))</f>
        <v>ok</v>
      </c>
      <c r="CF10" s="57"/>
      <c r="CG10" s="57" t="str">
        <f>IF(OR(ISBLANK(AH10),ISBLANK(AJ10)),"N/A",IF(ABS((AJ10-AH10)/AH10)&gt;0.25,"&gt; 25%","ok"))</f>
        <v>ok</v>
      </c>
      <c r="CH10" s="57"/>
      <c r="CI10" s="57" t="str">
        <f>IF(OR(ISBLANK(AJ10),ISBLANK(AL10)),"N/A",IF(ABS((AL10-AJ10)/AJ10)&gt;0.25,"&gt; 25%","ok"))</f>
        <v>ok</v>
      </c>
      <c r="CJ10" s="57"/>
      <c r="CK10" s="57" t="str">
        <f>IF(OR(ISBLANK(AL10),ISBLANK(AN10)),"N/A",IF(ABS((AN10-AL10)/AL10)&gt;0.25,"&gt; 25%","ok"))</f>
        <v>ok</v>
      </c>
      <c r="CL10" s="57"/>
      <c r="CM10" s="57" t="str">
        <f t="shared" si="1"/>
        <v>ok</v>
      </c>
      <c r="CN10" s="57"/>
      <c r="CO10" s="57" t="str">
        <f t="shared" si="2"/>
        <v>ok</v>
      </c>
      <c r="CP10" s="57"/>
      <c r="CQ10" s="57" t="str">
        <f t="shared" si="3"/>
        <v>ok</v>
      </c>
      <c r="CR10" s="57"/>
      <c r="CS10" s="57" t="str">
        <f t="shared" si="4"/>
        <v>N/A</v>
      </c>
      <c r="CT10" s="57"/>
    </row>
    <row r="11" spans="1:98" s="381" customFormat="1" ht="25.5" customHeight="1">
      <c r="A11" s="382"/>
      <c r="B11" s="186">
        <v>5008</v>
      </c>
      <c r="C11" s="556"/>
      <c r="D11" s="557" t="s">
        <v>480</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381</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row>
    <row r="12" spans="1:98" s="385" customFormat="1" ht="18" customHeight="1">
      <c r="A12" s="178"/>
      <c r="B12" s="186">
        <v>38</v>
      </c>
      <c r="C12" s="189">
        <v>4</v>
      </c>
      <c r="D12" s="384" t="s">
        <v>301</v>
      </c>
      <c r="E12" s="210" t="s">
        <v>294</v>
      </c>
      <c r="F12" s="496"/>
      <c r="G12" s="502"/>
      <c r="H12" s="496"/>
      <c r="I12" s="502"/>
      <c r="J12" s="496"/>
      <c r="K12" s="502"/>
      <c r="L12" s="496"/>
      <c r="M12" s="502"/>
      <c r="N12" s="496"/>
      <c r="O12" s="502"/>
      <c r="P12" s="496"/>
      <c r="Q12" s="502"/>
      <c r="R12" s="496"/>
      <c r="S12" s="502"/>
      <c r="T12" s="496"/>
      <c r="U12" s="502"/>
      <c r="V12" s="496"/>
      <c r="W12" s="502"/>
      <c r="X12" s="492"/>
      <c r="Y12" s="507"/>
      <c r="Z12" s="492"/>
      <c r="AA12" s="507"/>
      <c r="AB12" s="492"/>
      <c r="AC12" s="507"/>
      <c r="AD12" s="492"/>
      <c r="AE12" s="507"/>
      <c r="AF12" s="492"/>
      <c r="AG12" s="507"/>
      <c r="AH12" s="492"/>
      <c r="AI12" s="507"/>
      <c r="AJ12" s="492"/>
      <c r="AK12" s="507"/>
      <c r="AL12" s="492"/>
      <c r="AM12" s="507"/>
      <c r="AN12" s="492"/>
      <c r="AO12" s="507"/>
      <c r="AP12" s="492"/>
      <c r="AQ12" s="507"/>
      <c r="AR12" s="492"/>
      <c r="AS12" s="507"/>
      <c r="AT12" s="492"/>
      <c r="AU12" s="507"/>
      <c r="AV12" s="492"/>
      <c r="AW12" s="507"/>
      <c r="AY12" s="662"/>
      <c r="AZ12" s="580">
        <v>4</v>
      </c>
      <c r="BA12" s="584" t="s">
        <v>4</v>
      </c>
      <c r="BB12" s="519" t="s">
        <v>596</v>
      </c>
      <c r="BC12" s="54" t="s">
        <v>428</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N/A</v>
      </c>
      <c r="CH12" s="57"/>
      <c r="CI12" s="57" t="str">
        <f aca="true" t="shared" si="19" ref="CI12:CI19">IF(OR(ISBLANK(AJ12),ISBLANK(AL12)),"N/A",IF(ABS((AL12-AJ12)/AJ12)&gt;0.25,"&gt; 25%","ok"))</f>
        <v>N/A</v>
      </c>
      <c r="CJ12" s="57"/>
      <c r="CK12" s="57" t="str">
        <f aca="true" t="shared" si="20" ref="CK12:CK19">IF(OR(ISBLANK(AL12),ISBLANK(AN12)),"N/A",IF(ABS((AN12-AL12)/AL12)&gt;0.25,"&gt; 25%","ok"))</f>
        <v>N/A</v>
      </c>
      <c r="CL12" s="57"/>
      <c r="CM12" s="57" t="str">
        <f t="shared" si="1"/>
        <v>N/A</v>
      </c>
      <c r="CN12" s="57"/>
      <c r="CO12" s="57" t="str">
        <f t="shared" si="2"/>
        <v>N/A</v>
      </c>
      <c r="CP12" s="57"/>
      <c r="CQ12" s="57" t="str">
        <f t="shared" si="3"/>
        <v>N/A</v>
      </c>
      <c r="CR12" s="57"/>
      <c r="CS12" s="57" t="str">
        <f t="shared" si="4"/>
        <v>N/A</v>
      </c>
      <c r="CT12" s="57"/>
    </row>
    <row r="13" spans="2:98" ht="25.5" customHeight="1">
      <c r="B13" s="186">
        <v>81</v>
      </c>
      <c r="C13" s="207">
        <v>5</v>
      </c>
      <c r="D13" s="384" t="s">
        <v>580</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435</v>
      </c>
      <c r="BB13" s="519" t="s">
        <v>596</v>
      </c>
      <c r="BC13" s="56" t="s">
        <v>428</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532</v>
      </c>
      <c r="E14" s="210" t="s">
        <v>294</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593</v>
      </c>
      <c r="BB14" s="519" t="s">
        <v>596</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331</v>
      </c>
      <c r="E15" s="210" t="s">
        <v>294</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368</v>
      </c>
      <c r="BB15" s="519" t="s">
        <v>596</v>
      </c>
      <c r="BC15" s="56" t="s">
        <v>428</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533</v>
      </c>
      <c r="E16" s="210" t="s">
        <v>294</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598</v>
      </c>
      <c r="BB16" s="519" t="s">
        <v>596</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534</v>
      </c>
      <c r="E17" s="210" t="s">
        <v>294</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599</v>
      </c>
      <c r="BB17" s="519" t="s">
        <v>596</v>
      </c>
      <c r="BC17" s="56" t="s">
        <v>428</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535</v>
      </c>
      <c r="E18" s="210" t="s">
        <v>294</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594</v>
      </c>
      <c r="BB18" s="519" t="s">
        <v>596</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302</v>
      </c>
      <c r="E19" s="210" t="s">
        <v>294</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596</v>
      </c>
      <c r="BC19" s="211" t="s">
        <v>428</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334</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367</v>
      </c>
      <c r="BB20" s="589"/>
      <c r="BC20" s="211" t="s">
        <v>428</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261</v>
      </c>
      <c r="E21" s="197" t="s">
        <v>507</v>
      </c>
      <c r="F21" s="488">
        <v>100</v>
      </c>
      <c r="G21" s="503" t="s">
        <v>707</v>
      </c>
      <c r="H21" s="488">
        <v>100</v>
      </c>
      <c r="I21" s="503" t="s">
        <v>707</v>
      </c>
      <c r="J21" s="488">
        <v>100</v>
      </c>
      <c r="K21" s="503" t="s">
        <v>707</v>
      </c>
      <c r="L21" s="488">
        <v>100</v>
      </c>
      <c r="M21" s="503" t="s">
        <v>707</v>
      </c>
      <c r="N21" s="503">
        <v>100</v>
      </c>
      <c r="O21" s="503" t="s">
        <v>707</v>
      </c>
      <c r="P21" s="488">
        <v>100</v>
      </c>
      <c r="Q21" s="503" t="s">
        <v>707</v>
      </c>
      <c r="R21" s="488">
        <v>100</v>
      </c>
      <c r="S21" s="503" t="s">
        <v>707</v>
      </c>
      <c r="T21" s="488">
        <v>100</v>
      </c>
      <c r="U21" s="503" t="s">
        <v>707</v>
      </c>
      <c r="V21" s="488">
        <v>100</v>
      </c>
      <c r="W21" s="503" t="s">
        <v>707</v>
      </c>
      <c r="X21" s="488">
        <v>100</v>
      </c>
      <c r="Y21" s="503" t="s">
        <v>707</v>
      </c>
      <c r="Z21" s="488">
        <v>100</v>
      </c>
      <c r="AA21" s="503" t="s">
        <v>707</v>
      </c>
      <c r="AB21" s="488">
        <v>100</v>
      </c>
      <c r="AC21" s="503" t="s">
        <v>707</v>
      </c>
      <c r="AD21" s="488">
        <v>100</v>
      </c>
      <c r="AE21" s="503" t="s">
        <v>707</v>
      </c>
      <c r="AF21" s="488">
        <v>100</v>
      </c>
      <c r="AG21" s="503" t="s">
        <v>707</v>
      </c>
      <c r="AH21" s="488">
        <v>100</v>
      </c>
      <c r="AI21" s="503" t="s">
        <v>707</v>
      </c>
      <c r="AJ21" s="488">
        <v>100</v>
      </c>
      <c r="AK21" s="503" t="s">
        <v>707</v>
      </c>
      <c r="AL21" s="488">
        <v>100</v>
      </c>
      <c r="AM21" s="503" t="s">
        <v>707</v>
      </c>
      <c r="AN21" s="488">
        <v>100</v>
      </c>
      <c r="AO21" s="503" t="s">
        <v>707</v>
      </c>
      <c r="AP21" s="488">
        <v>100</v>
      </c>
      <c r="AQ21" s="503" t="s">
        <v>707</v>
      </c>
      <c r="AR21" s="488">
        <v>100</v>
      </c>
      <c r="AS21" s="503" t="s">
        <v>707</v>
      </c>
      <c r="AT21" s="488">
        <v>100</v>
      </c>
      <c r="AU21" s="503" t="s">
        <v>707</v>
      </c>
      <c r="AV21" s="488">
        <v>100</v>
      </c>
      <c r="AW21" s="503" t="s">
        <v>707</v>
      </c>
      <c r="AY21" s="663"/>
      <c r="AZ21" s="558">
        <v>12</v>
      </c>
      <c r="BA21" s="581" t="s">
        <v>382</v>
      </c>
      <c r="BB21" s="519" t="s">
        <v>507</v>
      </c>
      <c r="BC21" s="56" t="s">
        <v>428</v>
      </c>
      <c r="BD21" s="200"/>
      <c r="BE21" s="57" t="str">
        <f>IF(OR(ISBLANK(F21),ISBLANK(H21)),"N/A",IF(ABS(H21-F21)&gt;25,"&gt; 25%","ok"))</f>
        <v>ok</v>
      </c>
      <c r="BF21" s="200"/>
      <c r="BG21" s="57" t="str">
        <f t="shared" si="0"/>
        <v>ok</v>
      </c>
      <c r="BH21" s="57"/>
      <c r="BI21" s="57" t="str">
        <f>IF(OR(ISBLANK(J21),ISBLANK(L21)),"N/A",IF(ABS(L21-J21)&gt;25,"&gt; 25%","ok"))</f>
        <v>ok</v>
      </c>
      <c r="BJ21" s="57"/>
      <c r="BK21" s="57" t="str">
        <f>IF(OR(ISBLANK(L21),ISBLANK(N21)),"N/A",IF(ABS(N21-L21)&gt;25,"&gt; 25%","ok"))</f>
        <v>ok</v>
      </c>
      <c r="BL21" s="57"/>
      <c r="BM21" s="57" t="str">
        <f>IF(OR(ISBLANK(N21),ISBLANK(P21)),"N/A",IF(ABS(P21-N21)&gt;25,"&gt; 25%","ok"))</f>
        <v>ok</v>
      </c>
      <c r="BN21" s="57"/>
      <c r="BO21" s="57" t="str">
        <f>IF(OR(ISBLANK(P21),ISBLANK(R21)),"N/A",IF(ABS(R21-P21)&gt;25,"&gt; 25%","ok"))</f>
        <v>ok</v>
      </c>
      <c r="BP21" s="57"/>
      <c r="BQ21" s="57" t="str">
        <f>IF(OR(ISBLANK(R21),ISBLANK(T21)),"N/A",IF(ABS(T21-R21)&gt;25,"&gt; 25%","ok"))</f>
        <v>ok</v>
      </c>
      <c r="BR21" s="57"/>
      <c r="BS21" s="57" t="str">
        <f>IF(OR(ISBLANK(T21),ISBLANK(V21)),"N/A",IF(ABS(V21-T21)&gt;25,"&gt; 25%","ok"))</f>
        <v>ok</v>
      </c>
      <c r="BT21" s="57"/>
      <c r="BU21" s="57" t="str">
        <f>IF(OR(ISBLANK(V21),ISBLANK(X21)),"N/A",IF(ABS(X21-V21)&gt;25,"&gt; 25%","ok"))</f>
        <v>ok</v>
      </c>
      <c r="BV21" s="57"/>
      <c r="BW21" s="57" t="str">
        <f>IF(OR(ISBLANK(X21),ISBLANK(Z21)),"N/A",IF(ABS(Z21-X21)&gt;25,"&gt; 25%","ok"))</f>
        <v>ok</v>
      </c>
      <c r="BX21" s="57"/>
      <c r="BY21" s="57" t="str">
        <f>IF(OR(ISBLANK(Z21),ISBLANK(AB21)),"N/A",IF(ABS(AB21-Z21)&gt;25,"&gt; 25%","ok"))</f>
        <v>ok</v>
      </c>
      <c r="BZ21" s="57"/>
      <c r="CA21" s="57" t="str">
        <f>IF(OR(ISBLANK(AB21),ISBLANK(AD21)),"N/A",IF(ABS(AD21-AB21)&gt;25,"&gt; 25%","ok"))</f>
        <v>ok</v>
      </c>
      <c r="CB21" s="57"/>
      <c r="CC21" s="57" t="str">
        <f>IF(OR(ISBLANK(AD21),ISBLANK(AF21)),"N/A",IF(ABS(AF21-AD21)&gt;25,"&gt; 25%","ok"))</f>
        <v>ok</v>
      </c>
      <c r="CD21" s="57"/>
      <c r="CE21" s="57" t="str">
        <f>IF(OR(ISBLANK(AF21),ISBLANK(AH21)),"N/A",IF(ABS((AH21-AF21)/AF21)&gt;0.25,"&gt; 25%","ok"))</f>
        <v>ok</v>
      </c>
      <c r="CF21" s="200"/>
      <c r="CG21" s="57" t="str">
        <f>IF(OR(ISBLANK(AH21),ISBLANK(AJ21)),"N/A",IF(ABS(AJ21-AH21)&gt;25,"&gt; 25%","ok"))</f>
        <v>ok</v>
      </c>
      <c r="CH21" s="57"/>
      <c r="CI21" s="57" t="str">
        <f>IF(OR(ISBLANK(AJ21),ISBLANK(AL21)),"N/A",IF(ABS(AL21-AJ21)&gt;25,"&gt; 25%","ok"))</f>
        <v>ok</v>
      </c>
      <c r="CJ21" s="57"/>
      <c r="CK21" s="57" t="str">
        <f>IF(OR(ISBLANK(AL21),ISBLANK(AN21)),"N/A",IF(ABS(AN21-AL21)&gt;25,"&gt; 25%","ok"))</f>
        <v>ok</v>
      </c>
      <c r="CL21" s="57"/>
      <c r="CM21" s="57" t="str">
        <f t="shared" si="1"/>
        <v>ok</v>
      </c>
      <c r="CN21" s="57"/>
      <c r="CO21" s="57" t="str">
        <f t="shared" si="2"/>
        <v>ok</v>
      </c>
      <c r="CP21" s="57"/>
      <c r="CQ21" s="57" t="str">
        <f t="shared" si="3"/>
        <v>ok</v>
      </c>
      <c r="CR21" s="57"/>
      <c r="CS21" s="57" t="str">
        <f t="shared" si="4"/>
        <v>ok</v>
      </c>
      <c r="CT21" s="57"/>
    </row>
    <row r="22" spans="1:98" s="390" customFormat="1" ht="25.5" customHeight="1">
      <c r="A22" s="330"/>
      <c r="B22" s="186">
        <v>261</v>
      </c>
      <c r="C22" s="207">
        <v>13</v>
      </c>
      <c r="D22" s="204" t="s">
        <v>263</v>
      </c>
      <c r="E22" s="197" t="s">
        <v>507</v>
      </c>
      <c r="F22" s="488"/>
      <c r="G22" s="503"/>
      <c r="H22" s="488"/>
      <c r="I22" s="503"/>
      <c r="J22" s="488"/>
      <c r="K22" s="503"/>
      <c r="L22" s="488"/>
      <c r="M22" s="503"/>
      <c r="N22" s="503"/>
      <c r="O22" s="503"/>
      <c r="P22" s="488"/>
      <c r="Q22" s="503"/>
      <c r="R22" s="488"/>
      <c r="S22" s="503"/>
      <c r="T22" s="488"/>
      <c r="U22" s="503"/>
      <c r="V22" s="488"/>
      <c r="W22" s="503"/>
      <c r="X22" s="488"/>
      <c r="Y22" s="503"/>
      <c r="Z22" s="488"/>
      <c r="AA22" s="503"/>
      <c r="AB22" s="488"/>
      <c r="AC22" s="503"/>
      <c r="AD22" s="488"/>
      <c r="AE22" s="503"/>
      <c r="AF22" s="488"/>
      <c r="AG22" s="503"/>
      <c r="AH22" s="488"/>
      <c r="AI22" s="503"/>
      <c r="AJ22" s="488"/>
      <c r="AK22" s="503"/>
      <c r="AL22" s="488"/>
      <c r="AM22" s="503"/>
      <c r="AN22" s="488"/>
      <c r="AO22" s="503"/>
      <c r="AP22" s="488"/>
      <c r="AQ22" s="503"/>
      <c r="AR22" s="488"/>
      <c r="AS22" s="503"/>
      <c r="AT22" s="488"/>
      <c r="AU22" s="503"/>
      <c r="AV22" s="488"/>
      <c r="AW22" s="503"/>
      <c r="AY22" s="663"/>
      <c r="AZ22" s="519">
        <v>13</v>
      </c>
      <c r="BA22" s="582" t="s">
        <v>369</v>
      </c>
      <c r="BB22" s="519" t="s">
        <v>507</v>
      </c>
      <c r="BC22" s="56" t="s">
        <v>428</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N/A</v>
      </c>
      <c r="BR22" s="57"/>
      <c r="BS22" s="57" t="str">
        <f>IF(OR(ISBLANK(T22),ISBLANK(V22)),"N/A",IF(ABS(V22-T22)&gt;25,"&gt; 25%","ok"))</f>
        <v>N/A</v>
      </c>
      <c r="BT22" s="57"/>
      <c r="BU22" s="57" t="str">
        <f>IF(OR(ISBLANK(V22),ISBLANK(X22)),"N/A",IF(ABS(X22-V22)&gt;25,"&gt; 25%","ok"))</f>
        <v>N/A</v>
      </c>
      <c r="BV22" s="57"/>
      <c r="BW22" s="57" t="str">
        <f>IF(OR(ISBLANK(X22),ISBLANK(Z22)),"N/A",IF(ABS(Z22-X22)&gt;25,"&gt; 25%","ok"))</f>
        <v>N/A</v>
      </c>
      <c r="BX22" s="57"/>
      <c r="BY22" s="57" t="str">
        <f>IF(OR(ISBLANK(Z22),ISBLANK(AB22)),"N/A",IF(ABS(AB22-Z22)&gt;25,"&gt; 25%","ok"))</f>
        <v>N/A</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473</v>
      </c>
      <c r="E23" s="218" t="s">
        <v>507</v>
      </c>
      <c r="F23" s="489"/>
      <c r="G23" s="509"/>
      <c r="H23" s="489"/>
      <c r="I23" s="509"/>
      <c r="J23" s="489"/>
      <c r="K23" s="509"/>
      <c r="L23" s="489"/>
      <c r="M23" s="509"/>
      <c r="N23" s="509"/>
      <c r="O23" s="509"/>
      <c r="P23" s="489"/>
      <c r="Q23" s="509"/>
      <c r="R23" s="489"/>
      <c r="S23" s="509"/>
      <c r="T23" s="489"/>
      <c r="U23" s="509"/>
      <c r="V23" s="489"/>
      <c r="W23" s="509"/>
      <c r="X23" s="489"/>
      <c r="Y23" s="509"/>
      <c r="Z23" s="489"/>
      <c r="AA23" s="509"/>
      <c r="AB23" s="489"/>
      <c r="AC23" s="509"/>
      <c r="AD23" s="489"/>
      <c r="AE23" s="509"/>
      <c r="AF23" s="489"/>
      <c r="AG23" s="509"/>
      <c r="AH23" s="489"/>
      <c r="AI23" s="509"/>
      <c r="AJ23" s="489"/>
      <c r="AK23" s="509"/>
      <c r="AL23" s="489"/>
      <c r="AM23" s="509"/>
      <c r="AN23" s="489"/>
      <c r="AO23" s="509"/>
      <c r="AP23" s="489"/>
      <c r="AQ23" s="509"/>
      <c r="AR23" s="489"/>
      <c r="AS23" s="509"/>
      <c r="AT23" s="489"/>
      <c r="AU23" s="509"/>
      <c r="AV23" s="489"/>
      <c r="AW23" s="509"/>
      <c r="AY23" s="663"/>
      <c r="AZ23" s="591">
        <v>14</v>
      </c>
      <c r="BA23" s="592" t="s">
        <v>370</v>
      </c>
      <c r="BB23" s="591" t="s">
        <v>507</v>
      </c>
      <c r="BC23" s="64" t="s">
        <v>428</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N/A</v>
      </c>
      <c r="BN23" s="55"/>
      <c r="BO23" s="55" t="str">
        <f>IF(OR(ISBLANK(P23),ISBLANK(R23)),"N/A",IF(ABS(R23-P23)&gt;25,"&gt; 25%","ok"))</f>
        <v>N/A</v>
      </c>
      <c r="BP23" s="55"/>
      <c r="BQ23" s="55" t="str">
        <f>IF(OR(ISBLANK(R23),ISBLANK(T23)),"N/A",IF(ABS(T23-R23)&gt;25,"&gt; 25%","ok"))</f>
        <v>N/A</v>
      </c>
      <c r="BR23" s="55"/>
      <c r="BS23" s="55" t="str">
        <f>IF(OR(ISBLANK(T23),ISBLANK(V23)),"N/A",IF(ABS(V23-T23)&gt;25,"&gt; 25%","ok"))</f>
        <v>N/A</v>
      </c>
      <c r="BT23" s="55"/>
      <c r="BU23" s="55" t="str">
        <f>IF(OR(ISBLANK(V23),ISBLANK(X23)),"N/A",IF(ABS(X23-V23)&gt;25,"&gt; 25%","ok"))</f>
        <v>N/A</v>
      </c>
      <c r="BV23" s="55"/>
      <c r="BW23" s="55" t="str">
        <f>IF(OR(ISBLANK(X23),ISBLANK(Z23)),"N/A",IF(ABS(Z23-X23)&gt;25,"&gt; 25%","ok"))</f>
        <v>N/A</v>
      </c>
      <c r="BX23" s="55"/>
      <c r="BY23" s="55" t="str">
        <f>IF(OR(ISBLANK(Z23),ISBLANK(AB23)),"N/A",IF(ABS(AB23-Z23)&gt;25,"&gt; 25%","ok"))</f>
        <v>N/A</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600</v>
      </c>
      <c r="BA24" s="548"/>
      <c r="BB24" s="548"/>
    </row>
    <row r="25" spans="3:98" ht="15" customHeight="1">
      <c r="C25" s="307" t="s">
        <v>512</v>
      </c>
      <c r="D25" s="392"/>
      <c r="E25" s="393"/>
      <c r="F25" s="307"/>
      <c r="G25" s="307"/>
      <c r="AZ25" s="549" t="s">
        <v>510</v>
      </c>
      <c r="BA25" s="549" t="s">
        <v>511</v>
      </c>
      <c r="BB25" s="549" t="s">
        <v>513</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440</v>
      </c>
      <c r="D26" s="809" t="s">
        <v>304</v>
      </c>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394"/>
      <c r="AZ26" s="519">
        <v>3</v>
      </c>
      <c r="BA26" s="581" t="s">
        <v>597</v>
      </c>
      <c r="BB26" s="519" t="s">
        <v>596</v>
      </c>
      <c r="BC26" s="56">
        <f>F10</f>
        <v>0</v>
      </c>
      <c r="BD26" s="56"/>
      <c r="BE26" s="56">
        <f>H10</f>
        <v>0</v>
      </c>
      <c r="BF26" s="56"/>
      <c r="BG26" s="56">
        <f>J10</f>
        <v>0</v>
      </c>
      <c r="BH26" s="56"/>
      <c r="BI26" s="56">
        <f>L10</f>
        <v>0</v>
      </c>
      <c r="BJ26" s="56"/>
      <c r="BK26" s="56">
        <f>N10</f>
        <v>0</v>
      </c>
      <c r="BL26" s="56"/>
      <c r="BM26" s="56">
        <f>P10</f>
        <v>0</v>
      </c>
      <c r="BN26" s="56"/>
      <c r="BO26" s="56">
        <f>R10</f>
        <v>0</v>
      </c>
      <c r="BP26" s="56"/>
      <c r="BQ26" s="56">
        <f>T10</f>
        <v>0</v>
      </c>
      <c r="BR26" s="56"/>
      <c r="BS26" s="56">
        <f>V10</f>
        <v>0</v>
      </c>
      <c r="BT26" s="56"/>
      <c r="BU26" s="56">
        <f>X10</f>
        <v>7.552783012390137</v>
      </c>
      <c r="BV26" s="56"/>
      <c r="BW26" s="56">
        <f>Z10</f>
        <v>7.172842979431152</v>
      </c>
      <c r="BX26" s="56"/>
      <c r="BY26" s="56">
        <f>AB10</f>
        <v>6.806888103485107</v>
      </c>
      <c r="BZ26" s="56"/>
      <c r="CA26" s="56">
        <f>AD10</f>
        <v>6.590263843536377</v>
      </c>
      <c r="CB26" s="56"/>
      <c r="CC26" s="56">
        <f>AF10</f>
        <v>6.502994060516357</v>
      </c>
      <c r="CD26" s="56"/>
      <c r="CE26" s="56">
        <f>AH10</f>
        <v>6.3951520919799805</v>
      </c>
      <c r="CF26" s="56"/>
      <c r="CG26" s="56">
        <f>AJ10</f>
        <v>5.615816116333008</v>
      </c>
      <c r="CH26" s="56"/>
      <c r="CI26" s="56">
        <f>AL10</f>
        <v>5.967377185821533</v>
      </c>
      <c r="CJ26" s="56"/>
      <c r="CK26" s="56">
        <f>AN10</f>
        <v>6.0101728439331055</v>
      </c>
      <c r="CL26" s="56"/>
      <c r="CM26" s="56">
        <f>AP10</f>
        <v>6.211</v>
      </c>
      <c r="CN26" s="56"/>
      <c r="CO26" s="56">
        <f>AR10</f>
        <v>6.298</v>
      </c>
      <c r="CP26" s="56"/>
      <c r="CQ26" s="56">
        <f>AT10</f>
        <v>6.384</v>
      </c>
      <c r="CR26" s="56"/>
      <c r="CS26" s="56">
        <f>AV10</f>
        <v>0</v>
      </c>
      <c r="CT26" s="56"/>
    </row>
    <row r="27" spans="1:114" s="379" customFormat="1" ht="41.25" customHeight="1">
      <c r="A27" s="240"/>
      <c r="B27" s="240"/>
      <c r="C27" s="636" t="s">
        <v>662</v>
      </c>
      <c r="D27" s="810" t="s">
        <v>661</v>
      </c>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394"/>
      <c r="AZ27" s="263">
        <v>15</v>
      </c>
      <c r="BA27" s="395" t="s">
        <v>396</v>
      </c>
      <c r="BB27" s="56" t="s">
        <v>596</v>
      </c>
      <c r="BC27" s="56">
        <f>F8-F9</f>
        <v>0</v>
      </c>
      <c r="BD27" s="56"/>
      <c r="BE27" s="56">
        <f>H8-H9</f>
        <v>0</v>
      </c>
      <c r="BF27" s="56"/>
      <c r="BG27" s="56">
        <f>J8-J9</f>
        <v>0</v>
      </c>
      <c r="BH27" s="56"/>
      <c r="BI27" s="56">
        <f>L8-L9</f>
        <v>0</v>
      </c>
      <c r="BJ27" s="56"/>
      <c r="BK27" s="56">
        <f>N8-N9</f>
        <v>0</v>
      </c>
      <c r="BL27" s="56"/>
      <c r="BM27" s="56">
        <f>P8-P9</f>
        <v>0</v>
      </c>
      <c r="BN27" s="56"/>
      <c r="BO27" s="56">
        <f>R8-R9</f>
        <v>0</v>
      </c>
      <c r="BP27" s="56"/>
      <c r="BQ27" s="56">
        <f>T8-T9</f>
        <v>0</v>
      </c>
      <c r="BR27" s="56"/>
      <c r="BS27" s="56">
        <f>V8-V9</f>
        <v>0</v>
      </c>
      <c r="BT27" s="56"/>
      <c r="BU27" s="56">
        <f>X8-X9</f>
        <v>7.552783489227295</v>
      </c>
      <c r="BV27" s="56"/>
      <c r="BW27" s="56">
        <f>Z8-Z9</f>
        <v>7.1728434562683105</v>
      </c>
      <c r="BX27" s="56"/>
      <c r="BY27" s="56">
        <f>AB8-AB9</f>
        <v>6.806887865066528</v>
      </c>
      <c r="BZ27" s="56"/>
      <c r="CA27" s="56">
        <f>AD8-AD9</f>
        <v>6.590263843536377</v>
      </c>
      <c r="CB27" s="56"/>
      <c r="CC27" s="56">
        <f>AF8-AF9</f>
        <v>6.502993583679199</v>
      </c>
      <c r="CD27" s="56"/>
      <c r="CE27" s="56">
        <f>AH8-AH9</f>
        <v>6.395152568817139</v>
      </c>
      <c r="CF27" s="56"/>
      <c r="CG27" s="56">
        <f>AJ8-AJ9</f>
        <v>5.615816116333008</v>
      </c>
      <c r="CH27" s="56"/>
      <c r="CI27" s="56">
        <f>AL8-AL9</f>
        <v>5.967377662658691</v>
      </c>
      <c r="CJ27" s="56"/>
      <c r="CK27" s="56">
        <f>AN8-AN9</f>
        <v>6.0101728439331055</v>
      </c>
      <c r="CL27" s="56"/>
      <c r="CM27" s="56">
        <f>AP8-AP9</f>
        <v>6.209999999999999</v>
      </c>
      <c r="CN27" s="56"/>
      <c r="CO27" s="56">
        <f>AR8-AR9</f>
        <v>6.298</v>
      </c>
      <c r="CP27" s="56"/>
      <c r="CQ27" s="56">
        <f>AT8-AT9</f>
        <v>6.384</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440</v>
      </c>
      <c r="D28" s="809" t="s">
        <v>325</v>
      </c>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440</v>
      </c>
      <c r="D29" s="809" t="s">
        <v>472</v>
      </c>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09"/>
      <c r="AY29" s="394"/>
      <c r="AZ29" s="249" t="s">
        <v>441</v>
      </c>
      <c r="BA29" s="246" t="s">
        <v>601</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N/A</v>
      </c>
      <c r="BJ29" s="56"/>
      <c r="BK29" s="56" t="str">
        <f>IF(OR(ISBLANK(N8),ISBLANK(N9),ISBLANK(N10)),"N/A",IF((BK26=BK27),"ok","&lt;&gt;"))</f>
        <v>N/A</v>
      </c>
      <c r="BL29" s="56"/>
      <c r="BM29" s="56" t="str">
        <f>IF(OR(ISBLANK(P8),ISBLANK(P9),ISBLANK(P10)),"N/A",IF((BM26=BM27),"ok","&lt;&gt;"))</f>
        <v>N/A</v>
      </c>
      <c r="BN29" s="56"/>
      <c r="BO29" s="56" t="str">
        <f>IF(OR(ISBLANK(R8),ISBLANK(R9),ISBLANK(R10)),"N/A",IF((BO26=BO27),"ok","&lt;&gt;"))</f>
        <v>N/A</v>
      </c>
      <c r="BP29" s="56"/>
      <c r="BQ29" s="56" t="str">
        <f>IF(OR(ISBLANK(T8),ISBLANK(T9),ISBLANK(T10)),"N/A",IF((BQ26=BQ27),"ok","&lt;&gt;"))</f>
        <v>N/A</v>
      </c>
      <c r="BR29" s="56"/>
      <c r="BS29" s="56" t="str">
        <f>IF(OR(ISBLANK(V8),ISBLANK(V9),ISBLANK(V10)),"N/A",IF((BS26=BS27),"ok","&lt;&gt;"))</f>
        <v>N/A</v>
      </c>
      <c r="BT29" s="56"/>
      <c r="BU29" s="56" t="str">
        <f>IF(OR(ISBLANK(X8),ISBLANK(X9),ISBLANK(X10)),"N/A",IF((BU26=BU27),"ok","&lt;&gt;"))</f>
        <v>&lt;&gt;</v>
      </c>
      <c r="BV29" s="56"/>
      <c r="BW29" s="56" t="str">
        <f>IF(OR(ISBLANK(Z8),ISBLANK(Z9),ISBLANK(Z10)),"N/A",IF((BW26=BW27),"ok","&lt;&gt;"))</f>
        <v>&lt;&gt;</v>
      </c>
      <c r="BX29" s="56"/>
      <c r="BY29" s="56" t="str">
        <f>IF(OR(ISBLANK(AB8),ISBLANK(AB9),ISBLANK(AB10)),"N/A",IF((BY26=BY27),"ok","&lt;&gt;"))</f>
        <v>&lt;&gt;</v>
      </c>
      <c r="BZ29" s="56"/>
      <c r="CA29" s="56" t="str">
        <f>IF(OR(ISBLANK(AD8),ISBLANK(AD9),ISBLANK(AD10)),"N/A",IF((CA26=CA27),"ok","&lt;&gt;"))</f>
        <v>ok</v>
      </c>
      <c r="CB29" s="56"/>
      <c r="CC29" s="56" t="str">
        <f>IF(OR(ISBLANK(AF8),ISBLANK(AF9),ISBLANK(AF10)),"N/A",IF((CC26=CC27),"ok","&lt;&gt;"))</f>
        <v>&lt;&gt;</v>
      </c>
      <c r="CD29" s="56"/>
      <c r="CE29" s="56" t="str">
        <f>IF(OR(ISBLANK(AH8),ISBLANK(AH9),ISBLANK(AH10)),"N/A",IF((CE26=CE27),"ok","&lt;&gt;"))</f>
        <v>&lt;&gt;</v>
      </c>
      <c r="CF29" s="56"/>
      <c r="CG29" s="56" t="str">
        <f>IF(OR(ISBLANK(AJ8),ISBLANK(AJ9),ISBLANK(AJ10)),"N/A",IF((CG26=CG27),"ok","&lt;&gt;"))</f>
        <v>ok</v>
      </c>
      <c r="CH29" s="56"/>
      <c r="CI29" s="56" t="str">
        <f>IF(OR(ISBLANK(AL8),ISBLANK(AL9),ISBLANK(AL10)),"N/A",IF((CI26=CI27),"ok","&lt;&gt;"))</f>
        <v>&lt;&gt;</v>
      </c>
      <c r="CJ29" s="56"/>
      <c r="CK29" s="56" t="str">
        <f>IF(OR(ISBLANK(AN8),ISBLANK(AN9),ISBLANK(AN10)),"N/A",IF((CK26=CK27),"ok","&lt;&gt;"))</f>
        <v>ok</v>
      </c>
      <c r="CL29" s="56"/>
      <c r="CM29" s="56" t="str">
        <f>IF(OR(ISBLANK(AP8),ISBLANK(AP9),ISBLANK(AP10)),"N/A",IF((CM26=CM27),"ok","&lt;&gt;"))</f>
        <v>&lt;&gt;</v>
      </c>
      <c r="CN29" s="56"/>
      <c r="CO29" s="56" t="str">
        <f>IF(OR(ISBLANK(AR8),ISBLANK(AR9),ISBLANK(AR10)),"N/A",IF((CO26=CO27),"ok","&lt;&gt;"))</f>
        <v>ok</v>
      </c>
      <c r="CP29" s="56"/>
      <c r="CQ29" s="56" t="str">
        <f>IF(OR(ISBLANK(AT8),ISBLANK(AT9),ISBLANK(AT10)),"N/A",IF((CQ26=CQ27),"ok","&lt;&gt;"))</f>
        <v>ok</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29"/>
      <c r="AV30" s="829"/>
      <c r="AW30" s="829"/>
      <c r="AX30" s="829"/>
      <c r="AY30" s="394"/>
      <c r="AZ30" s="263">
        <v>16</v>
      </c>
      <c r="BA30" s="246" t="s">
        <v>602</v>
      </c>
      <c r="BB30" s="56" t="s">
        <v>596</v>
      </c>
      <c r="BC30" s="56">
        <f>SUM(F12:F16)+SUM(F18:F19)</f>
        <v>0</v>
      </c>
      <c r="BD30" s="56"/>
      <c r="BE30" s="56">
        <f>SUM(H12:H16)+SUM(H18:H19)</f>
        <v>0</v>
      </c>
      <c r="BF30" s="56"/>
      <c r="BG30" s="56">
        <f>SUM(J12:J16)+SUM(J18:J19)</f>
        <v>0</v>
      </c>
      <c r="BH30" s="56"/>
      <c r="BI30" s="56">
        <f>SUM(L12:L16)+SUM(L18:L19)</f>
        <v>0</v>
      </c>
      <c r="BJ30" s="56"/>
      <c r="BK30" s="56">
        <f>SUM(N12:N16)+SUM(N18:N19)</f>
        <v>0</v>
      </c>
      <c r="BL30" s="56"/>
      <c r="BM30" s="56">
        <f>SUM(P12:P16)+SUM(P18:P19)</f>
        <v>0</v>
      </c>
      <c r="BN30" s="56"/>
      <c r="BO30" s="56">
        <f>SUM(R12:R16)+SUM(R18:R19)</f>
        <v>0</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0</v>
      </c>
      <c r="CF30" s="56"/>
      <c r="CG30" s="56">
        <f>SUM(AJ12:AJ16)+SUM(AJ18:AJ19)</f>
        <v>0</v>
      </c>
      <c r="CH30" s="56"/>
      <c r="CI30" s="56">
        <f>SUM(AL12:AL16)+SUM(AL18:AL19)</f>
        <v>0</v>
      </c>
      <c r="CJ30" s="56"/>
      <c r="CK30" s="56">
        <f>SUM(AN12:AN16)+SUM(AN18:AN19)</f>
        <v>0</v>
      </c>
      <c r="CL30" s="56"/>
      <c r="CM30" s="56">
        <f>SUM(AP12:AP16)+SUM(AP18:AP19)</f>
        <v>0</v>
      </c>
      <c r="CN30" s="56"/>
      <c r="CO30" s="56">
        <f>SUM(AR12:AR16)+SUM(AR18:AR19)</f>
        <v>0</v>
      </c>
      <c r="CP30" s="56"/>
      <c r="CQ30" s="56">
        <f>SUM(AT12:AT16)+SUM(AT18:AT19)</f>
        <v>0</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90" t="str">
        <f>D11</f>
        <v>Volume d’eau douce fourni aux destinataires ou aux fins des activités suivantes :</v>
      </c>
      <c r="P31" s="890"/>
      <c r="Q31" s="890"/>
      <c r="R31" s="890"/>
      <c r="S31" s="250"/>
      <c r="T31" s="250"/>
      <c r="U31" s="866" t="str">
        <f>D12&amp;" (W3,4)"</f>
        <v>Ménages (W3,4)</v>
      </c>
      <c r="V31" s="867"/>
      <c r="W31" s="867"/>
      <c r="X31" s="867"/>
      <c r="Y31" s="867"/>
      <c r="Z31" s="867"/>
      <c r="AA31" s="867"/>
      <c r="AB31" s="868"/>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441</v>
      </c>
      <c r="BA31" s="246" t="s">
        <v>603</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69" t="str">
        <f>LEFT(D10,LEN(D10)-21)&amp;" (W3,3)"</f>
        <v>Quantité nette d’eau douce fournie par les services d’alimentation en eau (CITI 36) (=1- (W3,3)</v>
      </c>
      <c r="L32" s="879"/>
      <c r="M32" s="879"/>
      <c r="N32" s="880"/>
      <c r="O32" s="890"/>
      <c r="P32" s="890"/>
      <c r="Q32" s="890"/>
      <c r="R32" s="890"/>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441</v>
      </c>
      <c r="BA32" s="274" t="s">
        <v>604</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N/A</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N/A</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N/A</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87" t="str">
        <f>D8&amp;" (W3, 1)"</f>
        <v>Quantité brute d’eau douce fournie par les services d’alimentation en eau (CITI 36) (W3, 1)</v>
      </c>
      <c r="E33" s="251"/>
      <c r="F33" s="544"/>
      <c r="G33" s="544"/>
      <c r="H33" s="544"/>
      <c r="I33" s="544"/>
      <c r="J33" s="544"/>
      <c r="K33" s="881"/>
      <c r="L33" s="882"/>
      <c r="M33" s="882"/>
      <c r="N33" s="883"/>
      <c r="O33" s="890"/>
      <c r="P33" s="890"/>
      <c r="Q33" s="890"/>
      <c r="R33" s="890"/>
      <c r="S33" s="544"/>
      <c r="T33" s="544"/>
      <c r="U33" s="866" t="str">
        <f>D13&amp;" (W3,5)"</f>
        <v>Agriculture, sylviculture et pêche (divisions 1 
à 3 de la CITI) (W3,5)</v>
      </c>
      <c r="V33" s="867"/>
      <c r="W33" s="867"/>
      <c r="X33" s="867"/>
      <c r="Y33" s="867"/>
      <c r="Z33" s="867"/>
      <c r="AA33" s="867"/>
      <c r="AB33" s="868"/>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88"/>
      <c r="E34" s="544"/>
      <c r="F34" s="544"/>
      <c r="G34" s="544"/>
      <c r="H34" s="544"/>
      <c r="I34" s="544"/>
      <c r="J34" s="544"/>
      <c r="K34" s="881"/>
      <c r="L34" s="882"/>
      <c r="M34" s="882"/>
      <c r="N34" s="883"/>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409</v>
      </c>
      <c r="BA34" s="276" t="s">
        <v>410</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88"/>
      <c r="E35" s="544"/>
      <c r="F35" s="544"/>
      <c r="G35" s="544"/>
      <c r="H35" s="544"/>
      <c r="I35" s="544"/>
      <c r="J35" s="544"/>
      <c r="K35" s="881"/>
      <c r="L35" s="882"/>
      <c r="M35" s="882"/>
      <c r="N35" s="883"/>
      <c r="O35" s="544"/>
      <c r="P35" s="544"/>
      <c r="Q35" s="544"/>
      <c r="R35" s="544"/>
      <c r="S35" s="544"/>
      <c r="T35" s="544"/>
      <c r="U35" s="866" t="str">
        <f>D14&amp;" (W3,6)"</f>
        <v>Activités extractives (divisions 5 à 9 de la CITI) (W3,6)</v>
      </c>
      <c r="V35" s="867"/>
      <c r="W35" s="867"/>
      <c r="X35" s="867"/>
      <c r="Y35" s="867"/>
      <c r="Z35" s="867"/>
      <c r="AA35" s="867"/>
      <c r="AB35" s="868"/>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88"/>
      <c r="E36" s="544"/>
      <c r="F36" s="544"/>
      <c r="G36" s="544"/>
      <c r="H36" s="544"/>
      <c r="I36" s="544"/>
      <c r="J36" s="544"/>
      <c r="K36" s="881"/>
      <c r="L36" s="882"/>
      <c r="M36" s="882"/>
      <c r="N36" s="883"/>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411</v>
      </c>
      <c r="BA36" s="276" t="s">
        <v>412</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89"/>
      <c r="E37" s="544"/>
      <c r="F37" s="544"/>
      <c r="G37" s="544"/>
      <c r="H37" s="544"/>
      <c r="I37" s="544"/>
      <c r="J37" s="544"/>
      <c r="K37" s="884"/>
      <c r="L37" s="885"/>
      <c r="M37" s="885"/>
      <c r="N37" s="886"/>
      <c r="O37" s="544"/>
      <c r="P37" s="544"/>
      <c r="Q37" s="544"/>
      <c r="R37" s="544"/>
      <c r="S37" s="544"/>
      <c r="T37" s="544"/>
      <c r="U37" s="866" t="str">
        <f>D15&amp;" (W3,7)"</f>
        <v>Activités de fabrication (divisions 10 à 33 de la CITI) (W3,7)</v>
      </c>
      <c r="V37" s="867"/>
      <c r="W37" s="867"/>
      <c r="X37" s="867"/>
      <c r="Y37" s="867"/>
      <c r="Z37" s="867"/>
      <c r="AA37" s="867"/>
      <c r="AB37" s="868"/>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414</v>
      </c>
      <c r="BA38" s="276" t="s">
        <v>416</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66" t="str">
        <f>D16&amp;" (W3,8)"</f>
        <v>Production et distribution d’électricité, de gaz, de vapeur et climatisation (division 35 de la CITI) (W3,8)</v>
      </c>
      <c r="V39" s="867"/>
      <c r="W39" s="867"/>
      <c r="X39" s="867"/>
      <c r="Y39" s="867"/>
      <c r="Z39" s="867"/>
      <c r="AA39" s="867"/>
      <c r="AB39" s="868"/>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413</v>
      </c>
      <c r="BA40" s="276" t="s">
        <v>378</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66" t="str">
        <f>D18&amp;" (W3,10)"</f>
        <v>Construction (divisions 41 à 43 de la CITI) (W3,10)</v>
      </c>
      <c r="V41" s="867"/>
      <c r="W41" s="867"/>
      <c r="X41" s="867"/>
      <c r="Y41" s="867"/>
      <c r="Z41" s="867"/>
      <c r="AA41" s="867"/>
      <c r="AB41" s="868"/>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69" t="str">
        <f>D9&amp;" (W3, 2)"</f>
        <v>Pertes au cours du transport par CITI 36 (W3, 2)</v>
      </c>
      <c r="F42" s="870"/>
      <c r="G42" s="870"/>
      <c r="H42" s="871"/>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414</v>
      </c>
      <c r="BA42" s="276" t="s">
        <v>416</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72"/>
      <c r="F43" s="873"/>
      <c r="G43" s="873"/>
      <c r="H43" s="874"/>
      <c r="I43" s="253"/>
      <c r="J43" s="253"/>
      <c r="K43" s="253"/>
      <c r="L43" s="253"/>
      <c r="M43" s="253"/>
      <c r="N43" s="253"/>
      <c r="O43" s="253"/>
      <c r="P43" s="253"/>
      <c r="Q43" s="253"/>
      <c r="R43" s="253"/>
      <c r="S43" s="253"/>
      <c r="T43" s="253"/>
      <c r="U43" s="866" t="str">
        <f>D19&amp;" (W3,11)"</f>
        <v>Autres activités économiques (W3,11)</v>
      </c>
      <c r="V43" s="867"/>
      <c r="W43" s="867"/>
      <c r="X43" s="867"/>
      <c r="Y43" s="867"/>
      <c r="Z43" s="867"/>
      <c r="AA43" s="867"/>
      <c r="AB43" s="868"/>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413</v>
      </c>
      <c r="BA44" s="276" t="s">
        <v>378</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75">
      <c r="A45" s="370"/>
      <c r="B45" s="352">
        <v>2</v>
      </c>
      <c r="C45" s="339" t="s">
        <v>298</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515</v>
      </c>
      <c r="D47" s="406" t="s">
        <v>299</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1:52" ht="18" customHeight="1">
      <c r="A48" s="136">
        <v>0</v>
      </c>
      <c r="B48" s="137">
        <v>5339</v>
      </c>
      <c r="C48" s="490" t="s">
        <v>704</v>
      </c>
      <c r="D48" s="794" t="s">
        <v>720</v>
      </c>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822"/>
      <c r="AY48" s="372"/>
      <c r="AZ48" s="405"/>
    </row>
    <row r="49" spans="1:52" ht="18" customHeight="1">
      <c r="A49" s="136">
        <v>0</v>
      </c>
      <c r="B49" s="137">
        <v>5340</v>
      </c>
      <c r="C49" s="490" t="s">
        <v>705</v>
      </c>
      <c r="D49" s="790" t="s">
        <v>721</v>
      </c>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823"/>
      <c r="AY49" s="414"/>
      <c r="AZ49" s="405"/>
    </row>
    <row r="50" spans="1:52" ht="18" customHeight="1">
      <c r="A50" s="136">
        <v>0</v>
      </c>
      <c r="B50" s="137">
        <v>5341</v>
      </c>
      <c r="C50" s="490" t="s">
        <v>706</v>
      </c>
      <c r="D50" s="790" t="s">
        <v>722</v>
      </c>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823"/>
      <c r="AY50" s="414"/>
      <c r="AZ50" s="405"/>
    </row>
    <row r="51" spans="1:52" ht="18" customHeight="1">
      <c r="A51" s="136">
        <v>0</v>
      </c>
      <c r="B51" s="137">
        <v>5338</v>
      </c>
      <c r="C51" s="490" t="s">
        <v>707</v>
      </c>
      <c r="D51" s="790" t="s">
        <v>723</v>
      </c>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823"/>
      <c r="AY51" s="414"/>
      <c r="AZ51" s="405"/>
    </row>
    <row r="52" spans="3:52"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Y52" s="414"/>
      <c r="AZ52" s="405"/>
    </row>
    <row r="53" spans="3:52"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Y53" s="414"/>
      <c r="AZ53" s="405"/>
    </row>
    <row r="54" spans="3:52"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Y54" s="414"/>
      <c r="AZ54" s="405"/>
    </row>
    <row r="55" spans="3:52"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Y55" s="414"/>
      <c r="AZ55" s="405"/>
    </row>
    <row r="56" spans="3:52"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c r="AY56" s="414"/>
      <c r="AZ56" s="405"/>
    </row>
    <row r="57" spans="3:98"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c r="AY60" s="414"/>
    </row>
    <row r="61" spans="3:51"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c r="AY61" s="414"/>
    </row>
    <row r="62" spans="3:51"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c r="AY62" s="414"/>
    </row>
    <row r="63" spans="3:51"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c r="AY63" s="414"/>
    </row>
    <row r="64" spans="3:51"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c r="AY64" s="414"/>
    </row>
    <row r="65" spans="3:51"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c r="AY65" s="414"/>
    </row>
    <row r="66" spans="3:51"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c r="AY66" s="414"/>
    </row>
    <row r="67" spans="3:51"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c r="AY67" s="414"/>
    </row>
    <row r="68" spans="3:51"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c r="AY68" s="414"/>
    </row>
    <row r="69" spans="3:51" ht="18" customHeight="1">
      <c r="C69" s="498"/>
      <c r="D69" s="806"/>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25"/>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formatCells="0" formatColumns="0" formatRows="0" insertColumns="0"/>
  <mergeCells count="42">
    <mergeCell ref="D54:AX54"/>
    <mergeCell ref="D48:AX48"/>
    <mergeCell ref="K32:N37"/>
    <mergeCell ref="D33:D37"/>
    <mergeCell ref="U37:AB37"/>
    <mergeCell ref="U39:AB39"/>
    <mergeCell ref="O31:R33"/>
    <mergeCell ref="U43:AB43"/>
    <mergeCell ref="D50:AX50"/>
    <mergeCell ref="D51:AX51"/>
    <mergeCell ref="D55:AX55"/>
    <mergeCell ref="D56:AX56"/>
    <mergeCell ref="D64:AX64"/>
    <mergeCell ref="D57:AX57"/>
    <mergeCell ref="D60:AX60"/>
    <mergeCell ref="D61:AX61"/>
    <mergeCell ref="D58:AX58"/>
    <mergeCell ref="D59:AX59"/>
    <mergeCell ref="D69:AX69"/>
    <mergeCell ref="D65:AX65"/>
    <mergeCell ref="D66:AX66"/>
    <mergeCell ref="D67:AX67"/>
    <mergeCell ref="D68:AX68"/>
    <mergeCell ref="D62:AX62"/>
    <mergeCell ref="D63:AX63"/>
    <mergeCell ref="BM3:BO3"/>
    <mergeCell ref="C5:AN5"/>
    <mergeCell ref="D28:AU28"/>
    <mergeCell ref="D26:AX26"/>
    <mergeCell ref="AG6:AW6"/>
    <mergeCell ref="D27:AX27"/>
    <mergeCell ref="BG3:BI3"/>
    <mergeCell ref="D29:AX29"/>
    <mergeCell ref="U31:AB31"/>
    <mergeCell ref="U33:AB33"/>
    <mergeCell ref="D53:AX53"/>
    <mergeCell ref="U35:AB35"/>
    <mergeCell ref="U41:AB41"/>
    <mergeCell ref="E42:H43"/>
    <mergeCell ref="D52:AX52"/>
    <mergeCell ref="D49:AX49"/>
    <mergeCell ref="D30:AX30"/>
  </mergeCells>
  <conditionalFormatting sqref="F10">
    <cfRule type="cellIs" priority="93" dxfId="338" operator="lessThan" stopIfTrue="1">
      <formula>F8-F9-(0.01*(F8-F9))</formula>
    </cfRule>
    <cfRule type="cellIs" priority="94" dxfId="338" operator="lessThan" stopIfTrue="1">
      <formula>F12+F13+F15+F16+F19-(0.01*(F12+F13+F15+F16+F19))</formula>
    </cfRule>
  </conditionalFormatting>
  <conditionalFormatting sqref="H10">
    <cfRule type="cellIs" priority="91" dxfId="338" operator="lessThan" stopIfTrue="1">
      <formula>H8-H9-(0.01*(H8-H9))</formula>
    </cfRule>
    <cfRule type="cellIs" priority="92" dxfId="338" operator="lessThan" stopIfTrue="1">
      <formula>H12+H13+H15+H16+H19-(0.01*(H12+H13+H15+H16+H19))</formula>
    </cfRule>
  </conditionalFormatting>
  <conditionalFormatting sqref="J10">
    <cfRule type="cellIs" priority="89" dxfId="338" operator="lessThan" stopIfTrue="1">
      <formula>J8-J9-(0.01*(J8-J9))</formula>
    </cfRule>
  </conditionalFormatting>
  <conditionalFormatting sqref="L10">
    <cfRule type="cellIs" priority="87" dxfId="338" operator="lessThan" stopIfTrue="1">
      <formula>L8-L9-(0.01*(L8-L9))</formula>
    </cfRule>
    <cfRule type="cellIs" priority="88" dxfId="338" operator="lessThan" stopIfTrue="1">
      <formula>L12+L13+L15+L16+L19-(0.01*(L12+L13+L15+L16+L19))</formula>
    </cfRule>
  </conditionalFormatting>
  <conditionalFormatting sqref="N10">
    <cfRule type="cellIs" priority="85" dxfId="338" operator="lessThan" stopIfTrue="1">
      <formula>N8-N9-(0.01*(N8-N9))</formula>
    </cfRule>
    <cfRule type="cellIs" priority="86" dxfId="338" operator="lessThan" stopIfTrue="1">
      <formula>N12+N13+N15+N16+N19-(0.01*(N12+N13+N15+N16+N19))</formula>
    </cfRule>
  </conditionalFormatting>
  <conditionalFormatting sqref="P10">
    <cfRule type="cellIs" priority="83" dxfId="338" operator="lessThan" stopIfTrue="1">
      <formula>P8-P9-(0.01*(P8-P9))</formula>
    </cfRule>
    <cfRule type="cellIs" priority="84" dxfId="338" operator="lessThan" stopIfTrue="1">
      <formula>P12+P13+P15+P16+P19-(0.01*(P12+P13+P15+P16+P19))</formula>
    </cfRule>
  </conditionalFormatting>
  <conditionalFormatting sqref="R10">
    <cfRule type="cellIs" priority="81" dxfId="338" operator="lessThan" stopIfTrue="1">
      <formula>R8-R9-(0.01*(R8-R9))</formula>
    </cfRule>
    <cfRule type="cellIs" priority="82" dxfId="338" operator="lessThan" stopIfTrue="1">
      <formula>R12+R13+R15+R16+R19-(0.01*(R12+R13+R15+R16+R19))</formula>
    </cfRule>
  </conditionalFormatting>
  <conditionalFormatting sqref="T10">
    <cfRule type="cellIs" priority="79" dxfId="338" operator="lessThan" stopIfTrue="1">
      <formula>T8-T9-(0.01*(T8-T9))</formula>
    </cfRule>
    <cfRule type="cellIs" priority="80" dxfId="338" operator="lessThan" stopIfTrue="1">
      <formula>T12+T13+T15+T16+T19-(0.01*(T12+T13+T15+T16+T19))</formula>
    </cfRule>
  </conditionalFormatting>
  <conditionalFormatting sqref="V10">
    <cfRule type="cellIs" priority="77" dxfId="338" operator="lessThan" stopIfTrue="1">
      <formula>V8-V9-(0.01*(V8-V9))</formula>
    </cfRule>
    <cfRule type="cellIs" priority="78" dxfId="338" operator="lessThan" stopIfTrue="1">
      <formula>V12+V13+V15+V16+V19-(0.01*(V12+V13+V15+V16+V19))</formula>
    </cfRule>
  </conditionalFormatting>
  <conditionalFormatting sqref="X10">
    <cfRule type="cellIs" priority="75" dxfId="338" operator="lessThan" stopIfTrue="1">
      <formula>X8-X9-(0.01*(X8-X9))</formula>
    </cfRule>
    <cfRule type="cellIs" priority="76" dxfId="338" operator="lessThan" stopIfTrue="1">
      <formula>X12+X13+X15+X16+X19-(0.01*(X12+X13+X15+X16+X19))</formula>
    </cfRule>
  </conditionalFormatting>
  <conditionalFormatting sqref="Z10">
    <cfRule type="cellIs" priority="73" dxfId="338" operator="lessThan" stopIfTrue="1">
      <formula>Z8-Z9-(0.01*(Z8-Z9))</formula>
    </cfRule>
    <cfRule type="cellIs" priority="74" dxfId="338" operator="lessThan" stopIfTrue="1">
      <formula>Z12+Z13+Z15+Z16+Z19-(0.01*(Z12+Z13+Z15+Z16+Z19))</formula>
    </cfRule>
  </conditionalFormatting>
  <conditionalFormatting sqref="AB10">
    <cfRule type="cellIs" priority="71" dxfId="338" operator="lessThan" stopIfTrue="1">
      <formula>AB8-AB9-(0.01*(AB8-AB9))</formula>
    </cfRule>
    <cfRule type="cellIs" priority="72" dxfId="338" operator="lessThan" stopIfTrue="1">
      <formula>AB12+AB13+AB15+AB16+AB19-(0.01*(AB12+AB13+AB15+AB16+AB19))</formula>
    </cfRule>
  </conditionalFormatting>
  <conditionalFormatting sqref="AD10">
    <cfRule type="cellIs" priority="69" dxfId="338" operator="lessThan" stopIfTrue="1">
      <formula>AD8-AD9-(0.01*(AD8-AD9))</formula>
    </cfRule>
    <cfRule type="cellIs" priority="70" dxfId="338" operator="lessThan" stopIfTrue="1">
      <formula>AD12+AD13+AD15+AD16+AD19-(0.01*(AD12+AD13+AD15+AD16+AD19))</formula>
    </cfRule>
  </conditionalFormatting>
  <conditionalFormatting sqref="AF10">
    <cfRule type="cellIs" priority="67" dxfId="338" operator="lessThan" stopIfTrue="1">
      <formula>AF8-AF9-(0.01*(AF8-AF9))</formula>
    </cfRule>
    <cfRule type="cellIs" priority="68" dxfId="338" operator="lessThan" stopIfTrue="1">
      <formula>AF12+AF13+AF15+AF16+AF19-(0.01*(AF12+AF13+AF15+AF16+AF19))</formula>
    </cfRule>
  </conditionalFormatting>
  <conditionalFormatting sqref="AH10">
    <cfRule type="cellIs" priority="65" dxfId="338" operator="lessThan" stopIfTrue="1">
      <formula>AH8-AH9-(0.01*(AH8-AH9))</formula>
    </cfRule>
    <cfRule type="cellIs" priority="66" dxfId="338" operator="lessThan" stopIfTrue="1">
      <formula>AH12+AH13+AH15+AH16+AH19-(0.01*(AH12+AH13+AH15+AH16+AH19))</formula>
    </cfRule>
  </conditionalFormatting>
  <conditionalFormatting sqref="AJ10">
    <cfRule type="cellIs" priority="63" dxfId="338" operator="lessThan" stopIfTrue="1">
      <formula>AJ8-AJ9-(0.01*(AJ8-AJ9))</formula>
    </cfRule>
    <cfRule type="cellIs" priority="64" dxfId="338" operator="lessThan" stopIfTrue="1">
      <formula>AJ12+AJ13+AJ15+AJ16+AJ19-(0.01*(AJ12+AJ13+AJ15+AJ16+AJ19))</formula>
    </cfRule>
  </conditionalFormatting>
  <conditionalFormatting sqref="AL10">
    <cfRule type="cellIs" priority="61" dxfId="338" operator="lessThan" stopIfTrue="1">
      <formula>AL8-AL9-(0.01*(AL8-AL9))</formula>
    </cfRule>
    <cfRule type="cellIs" priority="62" dxfId="338" operator="lessThan" stopIfTrue="1">
      <formula>AL12+AL13+AL15+AL16+AL19-(0.01*(AL12+AL13+AL15+AL16+AL19))</formula>
    </cfRule>
  </conditionalFormatting>
  <conditionalFormatting sqref="AN10">
    <cfRule type="cellIs" priority="59" dxfId="338" operator="lessThan" stopIfTrue="1">
      <formula>AN8-AN9-(0.01*(AN8-AN9))</formula>
    </cfRule>
    <cfRule type="cellIs" priority="60" dxfId="338" operator="lessThan" stopIfTrue="1">
      <formula>AN12+AN13+AN15+AN16+AN19-(0.01*(AN12+AN13+AN15+AN16+AN19))</formula>
    </cfRule>
  </conditionalFormatting>
  <conditionalFormatting sqref="AP10">
    <cfRule type="cellIs" priority="57" dxfId="338" operator="lessThan" stopIfTrue="1">
      <formula>AP8-AP9-(0.01*(AP8-AP9))</formula>
    </cfRule>
    <cfRule type="cellIs" priority="58" dxfId="338" operator="lessThan" stopIfTrue="1">
      <formula>AP12+AP13+AP15+AP16+AP19-(0.01*(AP12+AP13+AP15+AP16+AP19))</formula>
    </cfRule>
  </conditionalFormatting>
  <conditionalFormatting sqref="AR10">
    <cfRule type="cellIs" priority="55" dxfId="338" operator="lessThan" stopIfTrue="1">
      <formula>AR8-AR9-(0.01*(AR8-AR9))</formula>
    </cfRule>
    <cfRule type="cellIs" priority="56" dxfId="338" operator="lessThan" stopIfTrue="1">
      <formula>AR12+AR13+AR15+AR16+AR19-(0.01*(AR12+AR13+AR15+AR16+AR19))</formula>
    </cfRule>
  </conditionalFormatting>
  <conditionalFormatting sqref="AT10">
    <cfRule type="cellIs" priority="53" dxfId="338" operator="lessThan" stopIfTrue="1">
      <formula>AT8-AT9-(0.01*(AT8-AT9))</formula>
    </cfRule>
    <cfRule type="cellIs" priority="54" dxfId="338" operator="lessThan" stopIfTrue="1">
      <formula>AT12+AT13+AT15+AT16+AT19-(0.01*(AT12+AT13+AT15+AT16+AT19))</formula>
    </cfRule>
  </conditionalFormatting>
  <conditionalFormatting sqref="AV10">
    <cfRule type="cellIs" priority="46" dxfId="338" operator="lessThan" stopIfTrue="1">
      <formula>AV8-AV9-(0.01*(AV8-AV9))</formula>
    </cfRule>
    <cfRule type="cellIs" priority="47" dxfId="338" operator="lessThan" stopIfTrue="1">
      <formula>AV12+AV13+AV15+AV16+AV19-(0.01*(AV12+AV13+AV15+AV16+AV19))</formula>
    </cfRule>
  </conditionalFormatting>
  <conditionalFormatting sqref="BC29:CJ29 BC31:CJ32 CL31:CT32 CL29:CT29">
    <cfRule type="cellIs" priority="17" dxfId="338"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38" operator="equal" stopIfTrue="1">
      <formula>"&gt; 25%"</formula>
    </cfRule>
  </conditionalFormatting>
  <conditionalFormatting sqref="BE8:BE10 BE12:BE19">
    <cfRule type="cellIs" priority="18" dxfId="338" operator="equal" stopIfTrue="1">
      <formula>"&gt; 100%"</formula>
    </cfRule>
  </conditionalFormatting>
  <conditionalFormatting sqref="CS9:CS22">
    <cfRule type="cellIs" priority="6" dxfId="338" operator="equal" stopIfTrue="1">
      <formula>"&gt; 25%"</formula>
    </cfRule>
  </conditionalFormatting>
  <conditionalFormatting sqref="CK21:CK23 CK8:CK10 CK12:CK19 CM8:CM23">
    <cfRule type="cellIs" priority="15" dxfId="338" operator="equal" stopIfTrue="1">
      <formula>"&gt; 25%"</formula>
    </cfRule>
  </conditionalFormatting>
  <conditionalFormatting sqref="CO8">
    <cfRule type="cellIs" priority="14" dxfId="338" operator="equal" stopIfTrue="1">
      <formula>"&gt; 25%"</formula>
    </cfRule>
  </conditionalFormatting>
  <conditionalFormatting sqref="CQ8">
    <cfRule type="cellIs" priority="13" dxfId="338" operator="equal" stopIfTrue="1">
      <formula>"&gt; 25%"</formula>
    </cfRule>
  </conditionalFormatting>
  <conditionalFormatting sqref="CS8">
    <cfRule type="cellIs" priority="12" dxfId="338" operator="equal" stopIfTrue="1">
      <formula>"&gt; 25%"</formula>
    </cfRule>
  </conditionalFormatting>
  <conditionalFormatting sqref="CS8">
    <cfRule type="cellIs" priority="11" dxfId="338" operator="equal" stopIfTrue="1">
      <formula>"&gt; 25%"</formula>
    </cfRule>
  </conditionalFormatting>
  <conditionalFormatting sqref="CO9:CO22 CQ9:CQ22">
    <cfRule type="cellIs" priority="10" dxfId="338" operator="equal" stopIfTrue="1">
      <formula>"&gt; 25%"</formula>
    </cfRule>
  </conditionalFormatting>
  <conditionalFormatting sqref="CO9:CO22">
    <cfRule type="cellIs" priority="9" dxfId="338" operator="equal" stopIfTrue="1">
      <formula>"&gt; 25%"</formula>
    </cfRule>
  </conditionalFormatting>
  <conditionalFormatting sqref="CQ9:CQ22">
    <cfRule type="cellIs" priority="8" dxfId="338" operator="equal" stopIfTrue="1">
      <formula>"&gt; 25%"</formula>
    </cfRule>
  </conditionalFormatting>
  <conditionalFormatting sqref="CS9:CS22">
    <cfRule type="cellIs" priority="7" dxfId="338" operator="equal" stopIfTrue="1">
      <formula>"&gt; 25%"</formula>
    </cfRule>
  </conditionalFormatting>
  <conditionalFormatting sqref="CQ23 CO23 CS23:CT23">
    <cfRule type="cellIs" priority="5" dxfId="338" operator="equal" stopIfTrue="1">
      <formula>"&gt; 25%"</formula>
    </cfRule>
  </conditionalFormatting>
  <conditionalFormatting sqref="CQ23 CS23">
    <cfRule type="cellIs" priority="4" dxfId="338" operator="equal" stopIfTrue="1">
      <formula>"&gt; 25%"</formula>
    </cfRule>
  </conditionalFormatting>
  <conditionalFormatting sqref="BG9:BG22">
    <cfRule type="cellIs" priority="3" dxfId="338" operator="equal" stopIfTrue="1">
      <formula>"&gt; 25%"</formula>
    </cfRule>
  </conditionalFormatting>
  <conditionalFormatting sqref="BG23">
    <cfRule type="cellIs" priority="2" dxfId="338" operator="equal" stopIfTrue="1">
      <formula>"&gt; 25%"</formula>
    </cfRule>
  </conditionalFormatting>
  <conditionalFormatting sqref="CK29 CK31:CK32">
    <cfRule type="cellIs" priority="1" dxfId="338" operator="equal" stopIfTrue="1">
      <formula>"&lt;&gt;"</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6.83203125" style="136" hidden="1" customWidth="1"/>
    <col min="2" max="2" width="9.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v>20</v>
      </c>
      <c r="C3" s="296" t="s">
        <v>312</v>
      </c>
      <c r="D3" s="31" t="s">
        <v>134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26" t="s">
        <v>188</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458</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895"/>
      <c r="AJ6" s="878"/>
      <c r="AK6" s="878"/>
      <c r="AL6" s="878"/>
      <c r="AM6" s="878"/>
      <c r="AN6" s="878"/>
      <c r="AO6" s="878"/>
      <c r="AP6" s="878"/>
      <c r="AQ6" s="878"/>
      <c r="AR6" s="878"/>
      <c r="AS6" s="878"/>
      <c r="AT6" s="878"/>
      <c r="AU6" s="878"/>
      <c r="AV6" s="878"/>
      <c r="AW6" s="878"/>
      <c r="AX6" s="174"/>
      <c r="AY6" s="52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510</v>
      </c>
      <c r="BA7" s="181" t="s">
        <v>511</v>
      </c>
      <c r="BB7" s="181" t="s">
        <v>513</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451</v>
      </c>
      <c r="E8" s="207" t="s">
        <v>305</v>
      </c>
      <c r="F8" s="493"/>
      <c r="G8" s="504"/>
      <c r="H8" s="493"/>
      <c r="I8" s="504"/>
      <c r="J8" s="493">
        <v>37.149688720703125</v>
      </c>
      <c r="K8" s="504" t="s">
        <v>704</v>
      </c>
      <c r="L8" s="493">
        <v>37.5286865234375</v>
      </c>
      <c r="M8" s="504" t="s">
        <v>704</v>
      </c>
      <c r="N8" s="493">
        <v>37.99543380737305</v>
      </c>
      <c r="O8" s="504" t="s">
        <v>704</v>
      </c>
      <c r="P8" s="493">
        <v>40.915287017822266</v>
      </c>
      <c r="Q8" s="504" t="s">
        <v>704</v>
      </c>
      <c r="R8" s="493">
        <v>43.37346267700195</v>
      </c>
      <c r="S8" s="504" t="s">
        <v>704</v>
      </c>
      <c r="T8" s="493">
        <v>44.43936538696289</v>
      </c>
      <c r="U8" s="504" t="s">
        <v>704</v>
      </c>
      <c r="V8" s="493">
        <v>45.95162582397461</v>
      </c>
      <c r="W8" s="504" t="s">
        <v>704</v>
      </c>
      <c r="X8" s="493">
        <v>47.03504180908203</v>
      </c>
      <c r="Y8" s="504" t="s">
        <v>704</v>
      </c>
      <c r="Z8" s="493">
        <v>47.66651916503906</v>
      </c>
      <c r="AA8" s="504" t="s">
        <v>704</v>
      </c>
      <c r="AB8" s="493">
        <v>47.70989990234375</v>
      </c>
      <c r="AC8" s="504" t="s">
        <v>704</v>
      </c>
      <c r="AD8" s="493">
        <v>48.09752655029297</v>
      </c>
      <c r="AE8" s="504" t="s">
        <v>704</v>
      </c>
      <c r="AF8" s="493">
        <v>46.40000534057617</v>
      </c>
      <c r="AG8" s="504" t="s">
        <v>704</v>
      </c>
      <c r="AH8" s="493">
        <v>51.37123107910156</v>
      </c>
      <c r="AI8" s="504" t="s">
        <v>704</v>
      </c>
      <c r="AJ8" s="493">
        <v>56.96699905395508</v>
      </c>
      <c r="AK8" s="504" t="s">
        <v>704</v>
      </c>
      <c r="AL8" s="493">
        <v>54.9370002746582</v>
      </c>
      <c r="AM8" s="504" t="s">
        <v>704</v>
      </c>
      <c r="AN8" s="493">
        <v>54.81999969482422</v>
      </c>
      <c r="AO8" s="504" t="s">
        <v>704</v>
      </c>
      <c r="AP8" s="493">
        <f>AP17</f>
        <v>53.287</v>
      </c>
      <c r="AQ8" s="504"/>
      <c r="AR8" s="493">
        <f>AR17</f>
        <v>51.591</v>
      </c>
      <c r="AS8" s="504"/>
      <c r="AT8" s="493">
        <f>AT17</f>
        <v>55.396</v>
      </c>
      <c r="AU8" s="504"/>
      <c r="AV8" s="493">
        <f>AV17</f>
        <v>55.315</v>
      </c>
      <c r="AW8" s="504"/>
      <c r="AZ8" s="323">
        <v>1</v>
      </c>
      <c r="BA8" s="423" t="s">
        <v>430</v>
      </c>
      <c r="BB8" s="56" t="s">
        <v>531</v>
      </c>
      <c r="BC8" s="424" t="s">
        <v>428</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ok</v>
      </c>
      <c r="BJ8" s="66"/>
      <c r="BK8" s="66" t="str">
        <f aca="true" t="shared" si="2" ref="BK8:BK27">IF(OR(ISBLANK(L8),ISBLANK(N8)),"N/A",IF(ABS((N8-L8)/L8)&gt;0.25,"&gt; 25%","ok"))</f>
        <v>ok</v>
      </c>
      <c r="BL8" s="66"/>
      <c r="BM8" s="66" t="str">
        <f aca="true" t="shared" si="3" ref="BM8:BM27">IF(OR(ISBLANK(N8),ISBLANK(P8)),"N/A",IF(ABS((P8-N8)/N8)&gt;0.25,"&gt; 25%","ok"))</f>
        <v>ok</v>
      </c>
      <c r="BN8" s="66"/>
      <c r="BO8" s="66" t="str">
        <f aca="true" t="shared" si="4" ref="BO8:BO27">IF(OR(ISBLANK(P8),ISBLANK(R8)),"N/A",IF(ABS((R8-P8)/P8)&gt;0.25,"&gt; 25%","ok"))</f>
        <v>ok</v>
      </c>
      <c r="BP8" s="66"/>
      <c r="BQ8" s="66" t="str">
        <f aca="true" t="shared" si="5" ref="BQ8:BQ27">IF(OR(ISBLANK(R8),ISBLANK(T8)),"N/A",IF(ABS((T8-R8)/R8)&gt;0.25,"&gt; 25%","ok"))</f>
        <v>ok</v>
      </c>
      <c r="BR8" s="66"/>
      <c r="BS8" s="66" t="str">
        <f aca="true" t="shared" si="6" ref="BS8:BS27">IF(OR(ISBLANK(T8),ISBLANK(V8)),"N/A",IF(ABS((V8-T8)/T8)&gt;0.25,"&gt; 25%","ok"))</f>
        <v>ok</v>
      </c>
      <c r="BT8" s="66"/>
      <c r="BU8" s="66" t="str">
        <f aca="true" t="shared" si="7" ref="BU8:BU27">IF(OR(ISBLANK(V8),ISBLANK(X8)),"N/A",IF(ABS((X8-V8)/V8)&gt;0.25,"&gt; 25%","ok"))</f>
        <v>ok</v>
      </c>
      <c r="BV8" s="66"/>
      <c r="BW8" s="66" t="str">
        <f aca="true" t="shared" si="8" ref="BW8:BW27">IF(OR(ISBLANK(X8),ISBLANK(Z8)),"N/A",IF(ABS((Z8-X8)/X8)&gt;0.25,"&gt; 25%","ok"))</f>
        <v>ok</v>
      </c>
      <c r="BX8" s="66"/>
      <c r="BY8" s="66" t="str">
        <f aca="true" t="shared" si="9" ref="BY8:BY27">IF(OR(ISBLANK(Z8),ISBLANK(AB8)),"N/A",IF(ABS((AB8-Z8)/Z8)&gt;0.25,"&gt; 25%","ok"))</f>
        <v>ok</v>
      </c>
      <c r="BZ8" s="66"/>
      <c r="CA8" s="66" t="str">
        <f aca="true" t="shared" si="10" ref="CA8:CA27">IF(OR(ISBLANK(AB8),ISBLANK(AD8)),"N/A",IF(ABS((AD8-AB8)/AB8)&gt;0.25,"&gt; 25%","ok"))</f>
        <v>ok</v>
      </c>
      <c r="CB8" s="66"/>
      <c r="CC8" s="66" t="str">
        <f aca="true" t="shared" si="11" ref="CC8:CC27">IF(OR(ISBLANK(AD8),ISBLANK(AF8)),"N/A",IF(ABS((AF8-AD8)/AD8)&gt;0.25,"&gt; 25%","ok"))</f>
        <v>ok</v>
      </c>
      <c r="CD8" s="66"/>
      <c r="CE8" s="66" t="str">
        <f aca="true" t="shared" si="12" ref="CE8:CE27">IF(OR(ISBLANK(AF8),ISBLANK(AH8)),"N/A",IF(ABS((AH8-AF8)/AF8)&gt;0.25,"&gt; 25%","ok"))</f>
        <v>ok</v>
      </c>
      <c r="CF8" s="66"/>
      <c r="CG8" s="66" t="str">
        <f aca="true" t="shared" si="13" ref="CG8:CG27">IF(OR(ISBLANK(AH8),ISBLANK(AJ8)),"N/A",IF(ABS((AJ8-AH8)/AH8)&gt;0.25,"&gt; 25%","ok"))</f>
        <v>ok</v>
      </c>
      <c r="CH8" s="66"/>
      <c r="CI8" s="66" t="str">
        <f aca="true" t="shared" si="14" ref="CI8:CI27">IF(OR(ISBLANK(AJ8),ISBLANK(AL8)),"N/A",IF(ABS((AL8-AJ8)/AJ8)&gt;0.25,"&gt; 25%","ok"))</f>
        <v>ok</v>
      </c>
      <c r="CJ8" s="66"/>
      <c r="CK8" s="66" t="str">
        <f aca="true" t="shared" si="15" ref="CK8:CK27">IF(OR(ISBLANK(AL8),ISBLANK(AN8)),"N/A",IF(ABS((AN8-AL8)/AL8)&gt;0.25,"&gt; 25%","ok"))</f>
        <v>ok</v>
      </c>
      <c r="CL8" s="66"/>
      <c r="CM8" s="66" t="str">
        <f aca="true" t="shared" si="16" ref="CM8:CM27">IF(OR(ISBLANK(AN8),ISBLANK(AP8)),"N/A",IF(ABS((AP8-AN8)/AN8)&gt;0.25,"&gt; 25%","ok"))</f>
        <v>ok</v>
      </c>
      <c r="CN8" s="66"/>
      <c r="CO8" s="66" t="str">
        <f aca="true" t="shared" si="17" ref="CO8:CO27">IF(OR(ISBLANK(AP8),ISBLANK(AR8)),"N/A",IF(ABS((AR8-AP8)/AP8)&gt;0.25,"&gt; 25%","ok"))</f>
        <v>ok</v>
      </c>
      <c r="CP8" s="66"/>
      <c r="CQ8" s="66" t="str">
        <f aca="true" t="shared" si="18" ref="CQ8:CQ27">IF(OR(ISBLANK(AR8),ISBLANK(AT8)),"N/A",IF(ABS((AT8-AR8)/AR8)&gt;0.25,"&gt; 25%","ok"))</f>
        <v>ok</v>
      </c>
      <c r="CR8" s="66"/>
      <c r="CS8" s="66" t="str">
        <f aca="true" t="shared" si="19" ref="CS8:CS27">IF(OR(ISBLANK(AT8),ISBLANK(AV8)),"N/A",IF(ABS((AV8-AT8)/AT8)&gt;0.25,"&gt; 25%","ok"))</f>
        <v>ok</v>
      </c>
      <c r="CT8" s="66"/>
      <c r="CU8" s="679"/>
      <c r="CV8" s="66"/>
      <c r="CW8" s="66"/>
    </row>
    <row r="9" spans="2:101" ht="36.75" customHeight="1">
      <c r="B9" s="425">
        <v>85</v>
      </c>
      <c r="C9" s="207">
        <v>2</v>
      </c>
      <c r="D9" s="216" t="s">
        <v>592</v>
      </c>
      <c r="E9" s="207" t="s">
        <v>305</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605</v>
      </c>
      <c r="BB9" s="56" t="s">
        <v>531</v>
      </c>
      <c r="BC9" s="79" t="s">
        <v>428</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532</v>
      </c>
      <c r="E10" s="207" t="s">
        <v>305</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593</v>
      </c>
      <c r="BB10" s="56" t="s">
        <v>531</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331</v>
      </c>
      <c r="E11" s="207" t="s">
        <v>305</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368</v>
      </c>
      <c r="BB11" s="56" t="s">
        <v>531</v>
      </c>
      <c r="BC11" s="79" t="s">
        <v>428</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533</v>
      </c>
      <c r="E12" s="207" t="s">
        <v>305</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598</v>
      </c>
      <c r="BB12" s="56" t="s">
        <v>531</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534</v>
      </c>
      <c r="E13" s="207" t="s">
        <v>305</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606</v>
      </c>
      <c r="BB13" s="56" t="s">
        <v>531</v>
      </c>
      <c r="BC13" s="79" t="s">
        <v>428</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535</v>
      </c>
      <c r="E14" s="207" t="s">
        <v>305</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594</v>
      </c>
      <c r="BB14" s="56" t="s">
        <v>531</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302</v>
      </c>
      <c r="E15" s="207" t="s">
        <v>305</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531</v>
      </c>
      <c r="BC15" s="79" t="s">
        <v>428</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301</v>
      </c>
      <c r="E16" s="207" t="s">
        <v>305</v>
      </c>
      <c r="F16" s="493"/>
      <c r="G16" s="504"/>
      <c r="H16" s="493"/>
      <c r="I16" s="504"/>
      <c r="J16" s="493">
        <v>19.799999237060547</v>
      </c>
      <c r="K16" s="504"/>
      <c r="L16" s="493">
        <v>19.899999618530273</v>
      </c>
      <c r="M16" s="504"/>
      <c r="N16" s="493">
        <v>20.100000381469727</v>
      </c>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531</v>
      </c>
      <c r="BC16" s="79" t="s">
        <v>428</v>
      </c>
      <c r="BD16" s="78"/>
      <c r="BE16" s="66" t="str">
        <f t="shared" si="0"/>
        <v>N/A</v>
      </c>
      <c r="BF16" s="77"/>
      <c r="BG16" s="66" t="str">
        <f t="shared" si="20"/>
        <v>N/A</v>
      </c>
      <c r="BH16" s="78"/>
      <c r="BI16" s="66" t="str">
        <f t="shared" si="1"/>
        <v>ok</v>
      </c>
      <c r="BJ16" s="77"/>
      <c r="BK16" s="66" t="str">
        <f t="shared" si="2"/>
        <v>ok</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306</v>
      </c>
      <c r="E17" s="207" t="s">
        <v>305</v>
      </c>
      <c r="F17" s="493"/>
      <c r="G17" s="504"/>
      <c r="H17" s="493"/>
      <c r="I17" s="504"/>
      <c r="J17" s="493">
        <v>2.5999999046325684</v>
      </c>
      <c r="K17" s="504"/>
      <c r="L17" s="493">
        <v>2.700000047683716</v>
      </c>
      <c r="M17" s="504"/>
      <c r="N17" s="493">
        <v>5.699999809265137</v>
      </c>
      <c r="O17" s="504"/>
      <c r="P17" s="493">
        <v>9.5</v>
      </c>
      <c r="Q17" s="504"/>
      <c r="R17" s="493">
        <v>8.199999809265137</v>
      </c>
      <c r="S17" s="504"/>
      <c r="T17" s="493">
        <v>6.400000095367432</v>
      </c>
      <c r="U17" s="504"/>
      <c r="V17" s="493">
        <v>32.29999923706055</v>
      </c>
      <c r="W17" s="504"/>
      <c r="X17" s="493">
        <v>35.20000076293945</v>
      </c>
      <c r="Y17" s="504"/>
      <c r="Z17" s="493">
        <v>41.79999923706055</v>
      </c>
      <c r="AA17" s="504"/>
      <c r="AB17" s="493">
        <v>47.70000076293945</v>
      </c>
      <c r="AC17" s="504"/>
      <c r="AD17" s="493">
        <v>45.57903289794922</v>
      </c>
      <c r="AE17" s="504"/>
      <c r="AF17" s="493">
        <v>46.40000534057617</v>
      </c>
      <c r="AG17" s="504"/>
      <c r="AH17" s="493">
        <v>51.37123107910156</v>
      </c>
      <c r="AI17" s="504"/>
      <c r="AJ17" s="493">
        <v>56.96699905395508</v>
      </c>
      <c r="AK17" s="504"/>
      <c r="AL17" s="493">
        <v>54.9370002746582</v>
      </c>
      <c r="AM17" s="504"/>
      <c r="AN17" s="493">
        <v>54.8199996948242</v>
      </c>
      <c r="AO17" s="504"/>
      <c r="AP17" s="493">
        <v>53.287</v>
      </c>
      <c r="AQ17" s="504"/>
      <c r="AR17" s="493">
        <v>51.591</v>
      </c>
      <c r="AS17" s="504"/>
      <c r="AT17" s="493">
        <v>55.396</v>
      </c>
      <c r="AU17" s="504"/>
      <c r="AV17" s="493">
        <v>55.315</v>
      </c>
      <c r="AW17" s="504"/>
      <c r="AZ17" s="56">
        <v>10</v>
      </c>
      <c r="BA17" s="199" t="s">
        <v>436</v>
      </c>
      <c r="BB17" s="56" t="s">
        <v>531</v>
      </c>
      <c r="BC17" s="79" t="s">
        <v>428</v>
      </c>
      <c r="BD17" s="78"/>
      <c r="BE17" s="66" t="str">
        <f t="shared" si="0"/>
        <v>N/A</v>
      </c>
      <c r="BF17" s="77"/>
      <c r="BG17" s="66" t="str">
        <f t="shared" si="20"/>
        <v>N/A</v>
      </c>
      <c r="BH17" s="78"/>
      <c r="BI17" s="66" t="str">
        <f t="shared" si="1"/>
        <v>ok</v>
      </c>
      <c r="BJ17" s="77"/>
      <c r="BK17" s="66" t="str">
        <f t="shared" si="2"/>
        <v>&gt; 25%</v>
      </c>
      <c r="BL17" s="56"/>
      <c r="BM17" s="66" t="str">
        <f t="shared" si="3"/>
        <v>&gt; 25%</v>
      </c>
      <c r="BN17" s="77"/>
      <c r="BO17" s="66" t="str">
        <f t="shared" si="4"/>
        <v>ok</v>
      </c>
      <c r="BP17" s="56"/>
      <c r="BQ17" s="66" t="str">
        <f t="shared" si="5"/>
        <v>ok</v>
      </c>
      <c r="BR17" s="78"/>
      <c r="BS17" s="66" t="str">
        <f t="shared" si="6"/>
        <v>&gt; 25%</v>
      </c>
      <c r="BT17" s="77"/>
      <c r="BU17" s="66" t="str">
        <f t="shared" si="7"/>
        <v>ok</v>
      </c>
      <c r="BV17" s="56"/>
      <c r="BW17" s="66" t="str">
        <f t="shared" si="8"/>
        <v>ok</v>
      </c>
      <c r="BX17" s="78"/>
      <c r="BY17" s="66" t="str">
        <f t="shared" si="9"/>
        <v>ok</v>
      </c>
      <c r="BZ17" s="56"/>
      <c r="CA17" s="66" t="str">
        <f t="shared" si="10"/>
        <v>ok</v>
      </c>
      <c r="CB17" s="56"/>
      <c r="CC17" s="66" t="str">
        <f t="shared" si="11"/>
        <v>ok</v>
      </c>
      <c r="CD17" s="77"/>
      <c r="CE17" s="66" t="str">
        <f t="shared" si="12"/>
        <v>ok</v>
      </c>
      <c r="CF17" s="77"/>
      <c r="CG17" s="66" t="str">
        <f t="shared" si="13"/>
        <v>ok</v>
      </c>
      <c r="CH17" s="56"/>
      <c r="CI17" s="66" t="str">
        <f t="shared" si="14"/>
        <v>ok</v>
      </c>
      <c r="CJ17" s="78"/>
      <c r="CK17" s="66" t="str">
        <f t="shared" si="15"/>
        <v>ok</v>
      </c>
      <c r="CL17" s="56"/>
      <c r="CM17" s="66" t="str">
        <f t="shared" si="16"/>
        <v>ok</v>
      </c>
      <c r="CN17" s="78"/>
      <c r="CO17" s="66" t="str">
        <f t="shared" si="17"/>
        <v>ok</v>
      </c>
      <c r="CP17" s="78"/>
      <c r="CQ17" s="66" t="str">
        <f t="shared" si="18"/>
        <v>ok</v>
      </c>
      <c r="CR17" s="78"/>
      <c r="CS17" s="66" t="str">
        <f t="shared" si="19"/>
        <v>ok</v>
      </c>
      <c r="CT17" s="78"/>
      <c r="CU17" s="679"/>
      <c r="CV17" s="78"/>
      <c r="CW17" s="66"/>
    </row>
    <row r="18" spans="2:101" ht="21.75" customHeight="1">
      <c r="B18" s="186">
        <v>94</v>
      </c>
      <c r="C18" s="207">
        <v>11</v>
      </c>
      <c r="D18" s="426" t="s">
        <v>158</v>
      </c>
      <c r="E18" s="207" t="s">
        <v>305</v>
      </c>
      <c r="F18" s="493"/>
      <c r="G18" s="504"/>
      <c r="H18" s="493"/>
      <c r="I18" s="504"/>
      <c r="J18" s="493">
        <v>0</v>
      </c>
      <c r="K18" s="504"/>
      <c r="L18" s="493">
        <v>0</v>
      </c>
      <c r="M18" s="504"/>
      <c r="N18" s="493">
        <v>0</v>
      </c>
      <c r="O18" s="504"/>
      <c r="P18" s="493">
        <v>0</v>
      </c>
      <c r="Q18" s="504"/>
      <c r="R18" s="493">
        <v>0</v>
      </c>
      <c r="S18" s="504"/>
      <c r="T18" s="493">
        <v>0</v>
      </c>
      <c r="U18" s="504"/>
      <c r="V18" s="493">
        <v>0</v>
      </c>
      <c r="W18" s="504"/>
      <c r="X18" s="493">
        <v>0</v>
      </c>
      <c r="Y18" s="504"/>
      <c r="Z18" s="493">
        <v>0</v>
      </c>
      <c r="AA18" s="504"/>
      <c r="AB18" s="493">
        <v>0</v>
      </c>
      <c r="AC18" s="504"/>
      <c r="AD18" s="493">
        <v>0</v>
      </c>
      <c r="AE18" s="504"/>
      <c r="AF18" s="493">
        <v>0</v>
      </c>
      <c r="AG18" s="504"/>
      <c r="AH18" s="493">
        <v>0</v>
      </c>
      <c r="AI18" s="504"/>
      <c r="AJ18" s="493">
        <v>0</v>
      </c>
      <c r="AK18" s="504"/>
      <c r="AL18" s="493">
        <v>0</v>
      </c>
      <c r="AM18" s="504"/>
      <c r="AN18" s="493">
        <v>0</v>
      </c>
      <c r="AO18" s="504"/>
      <c r="AP18" s="493">
        <v>0</v>
      </c>
      <c r="AQ18" s="504"/>
      <c r="AR18" s="493">
        <v>0</v>
      </c>
      <c r="AS18" s="504"/>
      <c r="AT18" s="493">
        <v>0</v>
      </c>
      <c r="AU18" s="504"/>
      <c r="AV18" s="493">
        <v>0</v>
      </c>
      <c r="AW18" s="504"/>
      <c r="AZ18" s="56">
        <v>11</v>
      </c>
      <c r="BA18" s="386" t="s">
        <v>607</v>
      </c>
      <c r="BB18" s="56" t="s">
        <v>531</v>
      </c>
      <c r="BC18" s="79" t="s">
        <v>428</v>
      </c>
      <c r="BD18" s="78"/>
      <c r="BE18" s="66" t="str">
        <f t="shared" si="0"/>
        <v>N/A</v>
      </c>
      <c r="BF18" s="77"/>
      <c r="BG18" s="66" t="str">
        <f t="shared" si="20"/>
        <v>N/A</v>
      </c>
      <c r="BH18" s="78"/>
      <c r="BI18" s="66" t="e">
        <f t="shared" si="1"/>
        <v>#DIV/0!</v>
      </c>
      <c r="BJ18" s="77"/>
      <c r="BK18" s="66" t="e">
        <f t="shared" si="2"/>
        <v>#DIV/0!</v>
      </c>
      <c r="BL18" s="56"/>
      <c r="BM18" s="66" t="e">
        <f t="shared" si="3"/>
        <v>#DIV/0!</v>
      </c>
      <c r="BN18" s="77"/>
      <c r="BO18" s="66" t="e">
        <f t="shared" si="4"/>
        <v>#DIV/0!</v>
      </c>
      <c r="BP18" s="56"/>
      <c r="BQ18" s="66" t="e">
        <f t="shared" si="5"/>
        <v>#DIV/0!</v>
      </c>
      <c r="BR18" s="78"/>
      <c r="BS18" s="66" t="e">
        <f t="shared" si="6"/>
        <v>#DIV/0!</v>
      </c>
      <c r="BT18" s="77"/>
      <c r="BU18" s="66" t="e">
        <f t="shared" si="7"/>
        <v>#DIV/0!</v>
      </c>
      <c r="BV18" s="56"/>
      <c r="BW18" s="66" t="e">
        <f t="shared" si="8"/>
        <v>#DIV/0!</v>
      </c>
      <c r="BX18" s="78"/>
      <c r="BY18" s="66" t="e">
        <f t="shared" si="9"/>
        <v>#DIV/0!</v>
      </c>
      <c r="BZ18" s="56"/>
      <c r="CA18" s="66" t="e">
        <f t="shared" si="10"/>
        <v>#DIV/0!</v>
      </c>
      <c r="CB18" s="56"/>
      <c r="CC18" s="66" t="e">
        <f t="shared" si="11"/>
        <v>#DIV/0!</v>
      </c>
      <c r="CD18" s="77"/>
      <c r="CE18" s="66" t="e">
        <f t="shared" si="12"/>
        <v>#DIV/0!</v>
      </c>
      <c r="CF18" s="77"/>
      <c r="CG18" s="66" t="e">
        <f t="shared" si="13"/>
        <v>#DIV/0!</v>
      </c>
      <c r="CH18" s="56"/>
      <c r="CI18" s="66" t="e">
        <f t="shared" si="14"/>
        <v>#DIV/0!</v>
      </c>
      <c r="CJ18" s="78"/>
      <c r="CK18" s="66" t="e">
        <f t="shared" si="15"/>
        <v>#DIV/0!</v>
      </c>
      <c r="CL18" s="56"/>
      <c r="CM18" s="66" t="e">
        <f t="shared" si="16"/>
        <v>#DIV/0!</v>
      </c>
      <c r="CN18" s="78"/>
      <c r="CO18" s="66" t="e">
        <f t="shared" si="17"/>
        <v>#DIV/0!</v>
      </c>
      <c r="CP18" s="78"/>
      <c r="CQ18" s="66" t="e">
        <f t="shared" si="18"/>
        <v>#DIV/0!</v>
      </c>
      <c r="CR18" s="78"/>
      <c r="CS18" s="66" t="e">
        <f t="shared" si="19"/>
        <v>#DIV/0!</v>
      </c>
      <c r="CT18" s="78"/>
      <c r="CU18" s="679"/>
      <c r="CV18" s="78"/>
      <c r="CW18" s="66"/>
    </row>
    <row r="19" spans="2:101" ht="18" customHeight="1">
      <c r="B19" s="186">
        <v>98</v>
      </c>
      <c r="C19" s="207">
        <v>12</v>
      </c>
      <c r="D19" s="204" t="s">
        <v>516</v>
      </c>
      <c r="E19" s="207" t="s">
        <v>305</v>
      </c>
      <c r="F19" s="493"/>
      <c r="G19" s="504"/>
      <c r="H19" s="493"/>
      <c r="I19" s="504"/>
      <c r="J19" s="493">
        <v>0</v>
      </c>
      <c r="K19" s="504"/>
      <c r="L19" s="493">
        <v>0</v>
      </c>
      <c r="M19" s="504"/>
      <c r="N19" s="493">
        <v>0</v>
      </c>
      <c r="O19" s="504"/>
      <c r="P19" s="493">
        <v>0</v>
      </c>
      <c r="Q19" s="504"/>
      <c r="R19" s="493">
        <v>0</v>
      </c>
      <c r="S19" s="504"/>
      <c r="T19" s="493">
        <v>0</v>
      </c>
      <c r="U19" s="504"/>
      <c r="V19" s="493">
        <v>0</v>
      </c>
      <c r="W19" s="504"/>
      <c r="X19" s="493">
        <v>0</v>
      </c>
      <c r="Y19" s="504"/>
      <c r="Z19" s="493">
        <v>0</v>
      </c>
      <c r="AA19" s="504"/>
      <c r="AB19" s="493">
        <v>0</v>
      </c>
      <c r="AC19" s="504"/>
      <c r="AD19" s="493">
        <v>0</v>
      </c>
      <c r="AE19" s="504"/>
      <c r="AF19" s="493">
        <v>0</v>
      </c>
      <c r="AG19" s="504"/>
      <c r="AH19" s="493">
        <v>0</v>
      </c>
      <c r="AI19" s="504"/>
      <c r="AJ19" s="493">
        <v>0</v>
      </c>
      <c r="AK19" s="504"/>
      <c r="AL19" s="493">
        <v>0</v>
      </c>
      <c r="AM19" s="504"/>
      <c r="AN19" s="493">
        <v>0</v>
      </c>
      <c r="AO19" s="504"/>
      <c r="AP19" s="493">
        <v>0</v>
      </c>
      <c r="AQ19" s="504"/>
      <c r="AR19" s="493">
        <v>0</v>
      </c>
      <c r="AS19" s="504"/>
      <c r="AT19" s="493">
        <v>0</v>
      </c>
      <c r="AU19" s="504"/>
      <c r="AV19" s="493">
        <v>0</v>
      </c>
      <c r="AW19" s="504"/>
      <c r="AZ19" s="56">
        <v>12</v>
      </c>
      <c r="BA19" s="386" t="s">
        <v>431</v>
      </c>
      <c r="BB19" s="56" t="s">
        <v>531</v>
      </c>
      <c r="BC19" s="79" t="s">
        <v>428</v>
      </c>
      <c r="BD19" s="78"/>
      <c r="BE19" s="66" t="str">
        <f t="shared" si="0"/>
        <v>N/A</v>
      </c>
      <c r="BF19" s="77"/>
      <c r="BG19" s="66" t="str">
        <f t="shared" si="20"/>
        <v>N/A</v>
      </c>
      <c r="BH19" s="78"/>
      <c r="BI19" s="66" t="e">
        <f t="shared" si="1"/>
        <v>#DIV/0!</v>
      </c>
      <c r="BJ19" s="77"/>
      <c r="BK19" s="66" t="e">
        <f t="shared" si="2"/>
        <v>#DIV/0!</v>
      </c>
      <c r="BL19" s="56"/>
      <c r="BM19" s="66" t="e">
        <f t="shared" si="3"/>
        <v>#DIV/0!</v>
      </c>
      <c r="BN19" s="77"/>
      <c r="BO19" s="66" t="e">
        <f t="shared" si="4"/>
        <v>#DIV/0!</v>
      </c>
      <c r="BP19" s="56"/>
      <c r="BQ19" s="66" t="e">
        <f t="shared" si="5"/>
        <v>#DIV/0!</v>
      </c>
      <c r="BR19" s="78"/>
      <c r="BS19" s="66" t="e">
        <f t="shared" si="6"/>
        <v>#DIV/0!</v>
      </c>
      <c r="BT19" s="77"/>
      <c r="BU19" s="66" t="e">
        <f t="shared" si="7"/>
        <v>#DIV/0!</v>
      </c>
      <c r="BV19" s="56"/>
      <c r="BW19" s="66" t="e">
        <f t="shared" si="8"/>
        <v>#DIV/0!</v>
      </c>
      <c r="BX19" s="78"/>
      <c r="BY19" s="66" t="e">
        <f t="shared" si="9"/>
        <v>#DIV/0!</v>
      </c>
      <c r="BZ19" s="56"/>
      <c r="CA19" s="66" t="e">
        <f t="shared" si="10"/>
        <v>#DIV/0!</v>
      </c>
      <c r="CB19" s="56"/>
      <c r="CC19" s="66" t="e">
        <f t="shared" si="11"/>
        <v>#DIV/0!</v>
      </c>
      <c r="CD19" s="77"/>
      <c r="CE19" s="66" t="e">
        <f t="shared" si="12"/>
        <v>#DIV/0!</v>
      </c>
      <c r="CF19" s="77"/>
      <c r="CG19" s="66" t="e">
        <f t="shared" si="13"/>
        <v>#DIV/0!</v>
      </c>
      <c r="CH19" s="56"/>
      <c r="CI19" s="66" t="e">
        <f t="shared" si="14"/>
        <v>#DIV/0!</v>
      </c>
      <c r="CJ19" s="78"/>
      <c r="CK19" s="66" t="e">
        <f t="shared" si="15"/>
        <v>#DIV/0!</v>
      </c>
      <c r="CL19" s="56"/>
      <c r="CM19" s="66" t="e">
        <f t="shared" si="16"/>
        <v>#DIV/0!</v>
      </c>
      <c r="CN19" s="78"/>
      <c r="CO19" s="66" t="e">
        <f t="shared" si="17"/>
        <v>#DIV/0!</v>
      </c>
      <c r="CP19" s="78"/>
      <c r="CQ19" s="66" t="e">
        <f t="shared" si="18"/>
        <v>#DIV/0!</v>
      </c>
      <c r="CR19" s="78"/>
      <c r="CS19" s="66" t="e">
        <f t="shared" si="19"/>
        <v>#DIV/0!</v>
      </c>
      <c r="CT19" s="78"/>
      <c r="CU19" s="679"/>
      <c r="CV19" s="78"/>
      <c r="CW19" s="66"/>
    </row>
    <row r="20" spans="2:101" ht="18" customHeight="1">
      <c r="B20" s="186">
        <v>102</v>
      </c>
      <c r="C20" s="207">
        <v>13</v>
      </c>
      <c r="D20" s="204" t="s">
        <v>517</v>
      </c>
      <c r="E20" s="207" t="s">
        <v>305</v>
      </c>
      <c r="F20" s="493"/>
      <c r="G20" s="504"/>
      <c r="H20" s="493"/>
      <c r="I20" s="504"/>
      <c r="J20" s="493">
        <v>2.5999999046325684</v>
      </c>
      <c r="K20" s="504" t="s">
        <v>705</v>
      </c>
      <c r="L20" s="493">
        <v>2.700000047683716</v>
      </c>
      <c r="M20" s="504" t="s">
        <v>706</v>
      </c>
      <c r="N20" s="493">
        <v>5.699999809265137</v>
      </c>
      <c r="O20" s="504" t="s">
        <v>706</v>
      </c>
      <c r="P20" s="493">
        <v>9.5</v>
      </c>
      <c r="Q20" s="504" t="s">
        <v>706</v>
      </c>
      <c r="R20" s="493">
        <v>8.199999809265137</v>
      </c>
      <c r="S20" s="504" t="s">
        <v>706</v>
      </c>
      <c r="T20" s="493">
        <v>6.400000095367432</v>
      </c>
      <c r="U20" s="504" t="s">
        <v>706</v>
      </c>
      <c r="V20" s="493">
        <v>32.29999923706055</v>
      </c>
      <c r="W20" s="504" t="s">
        <v>706</v>
      </c>
      <c r="X20" s="493">
        <v>35.20000076293945</v>
      </c>
      <c r="Y20" s="504" t="s">
        <v>706</v>
      </c>
      <c r="Z20" s="493">
        <v>41.79999923706055</v>
      </c>
      <c r="AA20" s="504" t="s">
        <v>706</v>
      </c>
      <c r="AB20" s="493">
        <v>47.70000076293945</v>
      </c>
      <c r="AC20" s="504" t="s">
        <v>706</v>
      </c>
      <c r="AD20" s="493">
        <v>45.57903289794922</v>
      </c>
      <c r="AE20" s="504" t="s">
        <v>706</v>
      </c>
      <c r="AF20" s="493">
        <v>46.40000534057617</v>
      </c>
      <c r="AG20" s="504" t="s">
        <v>706</v>
      </c>
      <c r="AH20" s="493">
        <v>51.37123107910156</v>
      </c>
      <c r="AI20" s="504" t="s">
        <v>706</v>
      </c>
      <c r="AJ20" s="493">
        <v>56.96699905395508</v>
      </c>
      <c r="AK20" s="504" t="s">
        <v>706</v>
      </c>
      <c r="AL20" s="493">
        <v>54.9370002746582</v>
      </c>
      <c r="AM20" s="504" t="s">
        <v>706</v>
      </c>
      <c r="AN20" s="493">
        <v>54.81999969482422</v>
      </c>
      <c r="AO20" s="504" t="s">
        <v>706</v>
      </c>
      <c r="AP20" s="493">
        <f>AP17</f>
        <v>53.287</v>
      </c>
      <c r="AQ20" s="504" t="s">
        <v>706</v>
      </c>
      <c r="AR20" s="493">
        <f>AR17</f>
        <v>51.591</v>
      </c>
      <c r="AS20" s="504" t="s">
        <v>706</v>
      </c>
      <c r="AT20" s="493">
        <f>AT17</f>
        <v>55.396</v>
      </c>
      <c r="AU20" s="504" t="s">
        <v>706</v>
      </c>
      <c r="AV20" s="493">
        <f>AV17</f>
        <v>55.315</v>
      </c>
      <c r="AW20" s="504" t="s">
        <v>706</v>
      </c>
      <c r="AZ20" s="56">
        <v>13</v>
      </c>
      <c r="BA20" s="386" t="s">
        <v>432</v>
      </c>
      <c r="BB20" s="56" t="s">
        <v>531</v>
      </c>
      <c r="BC20" s="79" t="s">
        <v>428</v>
      </c>
      <c r="BD20" s="78"/>
      <c r="BE20" s="66" t="str">
        <f t="shared" si="0"/>
        <v>N/A</v>
      </c>
      <c r="BF20" s="77"/>
      <c r="BG20" s="66" t="str">
        <f t="shared" si="20"/>
        <v>N/A</v>
      </c>
      <c r="BH20" s="79"/>
      <c r="BI20" s="66" t="str">
        <f t="shared" si="1"/>
        <v>ok</v>
      </c>
      <c r="BJ20" s="77"/>
      <c r="BK20" s="66" t="str">
        <f t="shared" si="2"/>
        <v>&gt; 25%</v>
      </c>
      <c r="BL20" s="56"/>
      <c r="BM20" s="66" t="str">
        <f t="shared" si="3"/>
        <v>&gt; 25%</v>
      </c>
      <c r="BN20" s="77"/>
      <c r="BO20" s="66" t="str">
        <f t="shared" si="4"/>
        <v>ok</v>
      </c>
      <c r="BP20" s="56"/>
      <c r="BQ20" s="66" t="str">
        <f t="shared" si="5"/>
        <v>ok</v>
      </c>
      <c r="BR20" s="78"/>
      <c r="BS20" s="66" t="str">
        <f t="shared" si="6"/>
        <v>&gt; 25%</v>
      </c>
      <c r="BT20" s="77"/>
      <c r="BU20" s="66" t="str">
        <f t="shared" si="7"/>
        <v>ok</v>
      </c>
      <c r="BV20" s="56"/>
      <c r="BW20" s="66" t="str">
        <f t="shared" si="8"/>
        <v>ok</v>
      </c>
      <c r="BX20" s="78"/>
      <c r="BY20" s="66" t="str">
        <f t="shared" si="9"/>
        <v>ok</v>
      </c>
      <c r="BZ20" s="56"/>
      <c r="CA20" s="66" t="str">
        <f t="shared" si="10"/>
        <v>ok</v>
      </c>
      <c r="CB20" s="56"/>
      <c r="CC20" s="66" t="str">
        <f t="shared" si="11"/>
        <v>ok</v>
      </c>
      <c r="CD20" s="77"/>
      <c r="CE20" s="66" t="str">
        <f t="shared" si="12"/>
        <v>ok</v>
      </c>
      <c r="CF20" s="77"/>
      <c r="CG20" s="66" t="str">
        <f t="shared" si="13"/>
        <v>ok</v>
      </c>
      <c r="CH20" s="56"/>
      <c r="CI20" s="66" t="str">
        <f t="shared" si="14"/>
        <v>ok</v>
      </c>
      <c r="CJ20" s="78"/>
      <c r="CK20" s="66" t="str">
        <f t="shared" si="15"/>
        <v>ok</v>
      </c>
      <c r="CL20" s="56"/>
      <c r="CM20" s="66" t="str">
        <f t="shared" si="16"/>
        <v>ok</v>
      </c>
      <c r="CN20" s="78"/>
      <c r="CO20" s="66" t="str">
        <f t="shared" si="17"/>
        <v>ok</v>
      </c>
      <c r="CP20" s="78"/>
      <c r="CQ20" s="66" t="str">
        <f t="shared" si="18"/>
        <v>ok</v>
      </c>
      <c r="CR20" s="78"/>
      <c r="CS20" s="66" t="str">
        <f t="shared" si="19"/>
        <v>ok</v>
      </c>
      <c r="CT20" s="78"/>
      <c r="CU20" s="679"/>
      <c r="CV20" s="78"/>
      <c r="CW20" s="66"/>
    </row>
    <row r="21" spans="2:101" ht="25.5" customHeight="1">
      <c r="B21" s="186">
        <v>109</v>
      </c>
      <c r="C21" s="207">
        <v>14</v>
      </c>
      <c r="D21" s="204" t="s">
        <v>307</v>
      </c>
      <c r="E21" s="207" t="s">
        <v>305</v>
      </c>
      <c r="F21" s="493"/>
      <c r="G21" s="504"/>
      <c r="H21" s="493"/>
      <c r="I21" s="504"/>
      <c r="J21" s="493">
        <v>0</v>
      </c>
      <c r="K21" s="504" t="s">
        <v>707</v>
      </c>
      <c r="L21" s="493">
        <v>0</v>
      </c>
      <c r="M21" s="504" t="s">
        <v>707</v>
      </c>
      <c r="N21" s="493">
        <v>0</v>
      </c>
      <c r="O21" s="504" t="s">
        <v>707</v>
      </c>
      <c r="P21" s="493">
        <v>0</v>
      </c>
      <c r="Q21" s="504" t="s">
        <v>707</v>
      </c>
      <c r="R21" s="493">
        <v>0</v>
      </c>
      <c r="S21" s="504" t="s">
        <v>707</v>
      </c>
      <c r="T21" s="493">
        <v>0</v>
      </c>
      <c r="U21" s="504" t="s">
        <v>707</v>
      </c>
      <c r="V21" s="493">
        <v>0</v>
      </c>
      <c r="W21" s="504" t="s">
        <v>707</v>
      </c>
      <c r="X21" s="493">
        <v>0</v>
      </c>
      <c r="Y21" s="504" t="s">
        <v>707</v>
      </c>
      <c r="Z21" s="493">
        <v>0</v>
      </c>
      <c r="AA21" s="504" t="s">
        <v>707</v>
      </c>
      <c r="AB21" s="493">
        <v>0</v>
      </c>
      <c r="AC21" s="504" t="s">
        <v>707</v>
      </c>
      <c r="AD21" s="493">
        <v>0</v>
      </c>
      <c r="AE21" s="504" t="s">
        <v>707</v>
      </c>
      <c r="AF21" s="493">
        <v>0</v>
      </c>
      <c r="AG21" s="504" t="s">
        <v>707</v>
      </c>
      <c r="AH21" s="493">
        <v>0</v>
      </c>
      <c r="AI21" s="504" t="s">
        <v>707</v>
      </c>
      <c r="AJ21" s="493">
        <v>0</v>
      </c>
      <c r="AK21" s="504" t="s">
        <v>707</v>
      </c>
      <c r="AL21" s="493">
        <v>0</v>
      </c>
      <c r="AM21" s="504" t="s">
        <v>707</v>
      </c>
      <c r="AN21" s="493">
        <v>0</v>
      </c>
      <c r="AO21" s="504" t="s">
        <v>707</v>
      </c>
      <c r="AP21" s="493">
        <v>0</v>
      </c>
      <c r="AQ21" s="504" t="s">
        <v>707</v>
      </c>
      <c r="AR21" s="493">
        <v>0</v>
      </c>
      <c r="AS21" s="504" t="s">
        <v>707</v>
      </c>
      <c r="AT21" s="493">
        <v>0</v>
      </c>
      <c r="AU21" s="504" t="s">
        <v>707</v>
      </c>
      <c r="AV21" s="493">
        <v>0</v>
      </c>
      <c r="AW21" s="504" t="s">
        <v>707</v>
      </c>
      <c r="AZ21" s="56">
        <v>14</v>
      </c>
      <c r="BA21" s="199" t="s">
        <v>433</v>
      </c>
      <c r="BB21" s="56" t="s">
        <v>531</v>
      </c>
      <c r="BC21" s="79" t="s">
        <v>428</v>
      </c>
      <c r="BD21" s="78"/>
      <c r="BE21" s="66" t="str">
        <f t="shared" si="0"/>
        <v>N/A</v>
      </c>
      <c r="BF21" s="77"/>
      <c r="BG21" s="66" t="str">
        <f t="shared" si="20"/>
        <v>N/A</v>
      </c>
      <c r="BH21" s="79"/>
      <c r="BI21" s="66" t="e">
        <f t="shared" si="1"/>
        <v>#DIV/0!</v>
      </c>
      <c r="BJ21" s="56"/>
      <c r="BK21" s="66" t="e">
        <f t="shared" si="2"/>
        <v>#DIV/0!</v>
      </c>
      <c r="BL21" s="56"/>
      <c r="BM21" s="66" t="e">
        <f t="shared" si="3"/>
        <v>#DIV/0!</v>
      </c>
      <c r="BN21" s="77"/>
      <c r="BO21" s="66" t="e">
        <f t="shared" si="4"/>
        <v>#DIV/0!</v>
      </c>
      <c r="BP21" s="56"/>
      <c r="BQ21" s="66" t="e">
        <f t="shared" si="5"/>
        <v>#DIV/0!</v>
      </c>
      <c r="BR21" s="78"/>
      <c r="BS21" s="66" t="e">
        <f t="shared" si="6"/>
        <v>#DIV/0!</v>
      </c>
      <c r="BT21" s="77"/>
      <c r="BU21" s="66" t="e">
        <f t="shared" si="7"/>
        <v>#DIV/0!</v>
      </c>
      <c r="BV21" s="56"/>
      <c r="BW21" s="66" t="e">
        <f t="shared" si="8"/>
        <v>#DIV/0!</v>
      </c>
      <c r="BX21" s="78"/>
      <c r="BY21" s="66" t="e">
        <f t="shared" si="9"/>
        <v>#DIV/0!</v>
      </c>
      <c r="BZ21" s="56"/>
      <c r="CA21" s="66" t="e">
        <f t="shared" si="10"/>
        <v>#DIV/0!</v>
      </c>
      <c r="CB21" s="56"/>
      <c r="CC21" s="66" t="e">
        <f t="shared" si="11"/>
        <v>#DIV/0!</v>
      </c>
      <c r="CD21" s="77"/>
      <c r="CE21" s="66" t="e">
        <f t="shared" si="12"/>
        <v>#DIV/0!</v>
      </c>
      <c r="CF21" s="77"/>
      <c r="CG21" s="66" t="e">
        <f t="shared" si="13"/>
        <v>#DIV/0!</v>
      </c>
      <c r="CH21" s="56"/>
      <c r="CI21" s="66" t="e">
        <f t="shared" si="14"/>
        <v>#DIV/0!</v>
      </c>
      <c r="CJ21" s="78"/>
      <c r="CK21" s="66" t="e">
        <f t="shared" si="15"/>
        <v>#DIV/0!</v>
      </c>
      <c r="CL21" s="56"/>
      <c r="CM21" s="66" t="e">
        <f t="shared" si="16"/>
        <v>#DIV/0!</v>
      </c>
      <c r="CN21" s="78"/>
      <c r="CO21" s="66" t="e">
        <f t="shared" si="17"/>
        <v>#DIV/0!</v>
      </c>
      <c r="CP21" s="78"/>
      <c r="CQ21" s="66" t="e">
        <f t="shared" si="18"/>
        <v>#DIV/0!</v>
      </c>
      <c r="CR21" s="78"/>
      <c r="CS21" s="66" t="e">
        <f t="shared" si="19"/>
        <v>#DIV/0!</v>
      </c>
      <c r="CT21" s="78"/>
      <c r="CU21" s="679"/>
      <c r="CV21" s="78"/>
      <c r="CW21" s="66"/>
    </row>
    <row r="22" spans="2:101" ht="23.25" customHeight="1">
      <c r="B22" s="186">
        <v>90</v>
      </c>
      <c r="C22" s="207">
        <v>15</v>
      </c>
      <c r="D22" s="426" t="s">
        <v>158</v>
      </c>
      <c r="E22" s="207" t="s">
        <v>305</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607</v>
      </c>
      <c r="BB22" s="56" t="s">
        <v>531</v>
      </c>
      <c r="BC22" s="56" t="s">
        <v>428</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516</v>
      </c>
      <c r="E23" s="207" t="s">
        <v>305</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431</v>
      </c>
      <c r="BB23" s="56" t="s">
        <v>531</v>
      </c>
      <c r="BC23" s="56" t="s">
        <v>428</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517</v>
      </c>
      <c r="E24" s="207" t="s">
        <v>305</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432</v>
      </c>
      <c r="BB24" s="56" t="s">
        <v>531</v>
      </c>
      <c r="BC24" s="56" t="s">
        <v>428</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308</v>
      </c>
      <c r="E25" s="207" t="s">
        <v>305</v>
      </c>
      <c r="F25" s="493"/>
      <c r="G25" s="504"/>
      <c r="H25" s="493"/>
      <c r="I25" s="504"/>
      <c r="J25" s="493">
        <v>0</v>
      </c>
      <c r="K25" s="504" t="s">
        <v>707</v>
      </c>
      <c r="L25" s="493">
        <v>0</v>
      </c>
      <c r="M25" s="504" t="s">
        <v>707</v>
      </c>
      <c r="N25" s="493">
        <v>0</v>
      </c>
      <c r="O25" s="504" t="s">
        <v>707</v>
      </c>
      <c r="P25" s="493">
        <v>0</v>
      </c>
      <c r="Q25" s="504" t="s">
        <v>707</v>
      </c>
      <c r="R25" s="493">
        <v>0</v>
      </c>
      <c r="S25" s="504" t="s">
        <v>707</v>
      </c>
      <c r="T25" s="493">
        <v>0</v>
      </c>
      <c r="U25" s="504" t="s">
        <v>707</v>
      </c>
      <c r="V25" s="493">
        <v>0</v>
      </c>
      <c r="W25" s="504" t="s">
        <v>707</v>
      </c>
      <c r="X25" s="493">
        <v>0</v>
      </c>
      <c r="Y25" s="504" t="s">
        <v>707</v>
      </c>
      <c r="Z25" s="493">
        <v>0</v>
      </c>
      <c r="AA25" s="504" t="s">
        <v>707</v>
      </c>
      <c r="AB25" s="493">
        <v>0</v>
      </c>
      <c r="AC25" s="504" t="s">
        <v>707</v>
      </c>
      <c r="AD25" s="493">
        <v>0</v>
      </c>
      <c r="AE25" s="504" t="s">
        <v>707</v>
      </c>
      <c r="AF25" s="493">
        <v>0</v>
      </c>
      <c r="AG25" s="504" t="s">
        <v>707</v>
      </c>
      <c r="AH25" s="493">
        <v>0</v>
      </c>
      <c r="AI25" s="504" t="s">
        <v>707</v>
      </c>
      <c r="AJ25" s="493">
        <v>0</v>
      </c>
      <c r="AK25" s="504" t="s">
        <v>707</v>
      </c>
      <c r="AL25" s="493">
        <v>0</v>
      </c>
      <c r="AM25" s="504" t="s">
        <v>707</v>
      </c>
      <c r="AN25" s="493">
        <v>0</v>
      </c>
      <c r="AO25" s="504" t="s">
        <v>707</v>
      </c>
      <c r="AP25" s="493">
        <v>0</v>
      </c>
      <c r="AQ25" s="504" t="s">
        <v>707</v>
      </c>
      <c r="AR25" s="493">
        <v>0</v>
      </c>
      <c r="AS25" s="504" t="s">
        <v>707</v>
      </c>
      <c r="AT25" s="493">
        <v>0</v>
      </c>
      <c r="AU25" s="504" t="s">
        <v>707</v>
      </c>
      <c r="AV25" s="493">
        <v>0</v>
      </c>
      <c r="AW25" s="504" t="s">
        <v>707</v>
      </c>
      <c r="AZ25" s="56">
        <v>18</v>
      </c>
      <c r="BA25" s="217" t="s">
        <v>434</v>
      </c>
      <c r="BB25" s="56" t="s">
        <v>531</v>
      </c>
      <c r="BC25" s="56" t="s">
        <v>428</v>
      </c>
      <c r="BD25" s="79"/>
      <c r="BE25" s="66" t="str">
        <f t="shared" si="0"/>
        <v>N/A</v>
      </c>
      <c r="BF25" s="56"/>
      <c r="BG25" s="66" t="str">
        <f t="shared" si="20"/>
        <v>N/A</v>
      </c>
      <c r="BH25" s="56"/>
      <c r="BI25" s="66" t="e">
        <f t="shared" si="1"/>
        <v>#DIV/0!</v>
      </c>
      <c r="BJ25" s="56"/>
      <c r="BK25" s="66" t="e">
        <f t="shared" si="2"/>
        <v>#DIV/0!</v>
      </c>
      <c r="BL25" s="56"/>
      <c r="BM25" s="66" t="e">
        <f t="shared" si="3"/>
        <v>#DIV/0!</v>
      </c>
      <c r="BN25" s="77"/>
      <c r="BO25" s="66" t="e">
        <f t="shared" si="4"/>
        <v>#DIV/0!</v>
      </c>
      <c r="BP25" s="79"/>
      <c r="BQ25" s="66" t="e">
        <f t="shared" si="5"/>
        <v>#DIV/0!</v>
      </c>
      <c r="BR25" s="79"/>
      <c r="BS25" s="66" t="e">
        <f t="shared" si="6"/>
        <v>#DIV/0!</v>
      </c>
      <c r="BT25" s="56"/>
      <c r="BU25" s="66" t="e">
        <f t="shared" si="7"/>
        <v>#DIV/0!</v>
      </c>
      <c r="BV25" s="79"/>
      <c r="BW25" s="66" t="e">
        <f t="shared" si="8"/>
        <v>#DIV/0!</v>
      </c>
      <c r="BX25" s="79"/>
      <c r="BY25" s="66" t="e">
        <f t="shared" si="9"/>
        <v>#DIV/0!</v>
      </c>
      <c r="BZ25" s="56"/>
      <c r="CA25" s="66" t="e">
        <f t="shared" si="10"/>
        <v>#DIV/0!</v>
      </c>
      <c r="CB25" s="56"/>
      <c r="CC25" s="66" t="e">
        <f t="shared" si="11"/>
        <v>#DIV/0!</v>
      </c>
      <c r="CD25" s="77"/>
      <c r="CE25" s="66" t="e">
        <f t="shared" si="12"/>
        <v>#DIV/0!</v>
      </c>
      <c r="CF25" s="77"/>
      <c r="CG25" s="66" t="e">
        <f t="shared" si="13"/>
        <v>#DIV/0!</v>
      </c>
      <c r="CH25" s="79"/>
      <c r="CI25" s="66" t="e">
        <f t="shared" si="14"/>
        <v>#DIV/0!</v>
      </c>
      <c r="CJ25" s="79"/>
      <c r="CK25" s="66" t="e">
        <f t="shared" si="15"/>
        <v>#DIV/0!</v>
      </c>
      <c r="CL25" s="79"/>
      <c r="CM25" s="66" t="e">
        <f t="shared" si="16"/>
        <v>#DIV/0!</v>
      </c>
      <c r="CN25" s="79"/>
      <c r="CO25" s="66" t="e">
        <f t="shared" si="17"/>
        <v>#DIV/0!</v>
      </c>
      <c r="CP25" s="79"/>
      <c r="CQ25" s="66" t="e">
        <f t="shared" si="18"/>
        <v>#DIV/0!</v>
      </c>
      <c r="CR25" s="79"/>
      <c r="CS25" s="66" t="e">
        <f t="shared" si="19"/>
        <v>#DIV/0!</v>
      </c>
      <c r="CT25" s="79"/>
      <c r="CU25" s="679"/>
      <c r="CV25" s="79"/>
      <c r="CW25" s="66"/>
    </row>
    <row r="26" spans="1:101" s="169" customFormat="1" ht="18" customHeight="1">
      <c r="A26" s="166"/>
      <c r="B26" s="186">
        <v>2414</v>
      </c>
      <c r="C26" s="207">
        <v>19</v>
      </c>
      <c r="D26" s="427" t="s">
        <v>309</v>
      </c>
      <c r="E26" s="207" t="s">
        <v>305</v>
      </c>
      <c r="F26" s="499"/>
      <c r="G26" s="505"/>
      <c r="H26" s="499"/>
      <c r="I26" s="505"/>
      <c r="J26" s="499">
        <v>34.54969024658203</v>
      </c>
      <c r="K26" s="505" t="s">
        <v>708</v>
      </c>
      <c r="L26" s="499">
        <v>34.82868576049805</v>
      </c>
      <c r="M26" s="505" t="s">
        <v>708</v>
      </c>
      <c r="N26" s="499">
        <v>32.295433044433594</v>
      </c>
      <c r="O26" s="505" t="s">
        <v>708</v>
      </c>
      <c r="P26" s="499">
        <v>31.415287017822266</v>
      </c>
      <c r="Q26" s="505" t="s">
        <v>708</v>
      </c>
      <c r="R26" s="499">
        <v>35.1734619140625</v>
      </c>
      <c r="S26" s="505" t="s">
        <v>708</v>
      </c>
      <c r="T26" s="499">
        <v>38.039363861083984</v>
      </c>
      <c r="U26" s="505" t="s">
        <v>708</v>
      </c>
      <c r="V26" s="499">
        <v>13.65162467956543</v>
      </c>
      <c r="W26" s="505" t="s">
        <v>708</v>
      </c>
      <c r="X26" s="499">
        <v>11.835041999816895</v>
      </c>
      <c r="Y26" s="505" t="s">
        <v>708</v>
      </c>
      <c r="Z26" s="499">
        <v>5.866518974304199</v>
      </c>
      <c r="AA26" s="505" t="s">
        <v>708</v>
      </c>
      <c r="AB26" s="499">
        <v>0.009901369921863079</v>
      </c>
      <c r="AC26" s="505" t="s">
        <v>708</v>
      </c>
      <c r="AD26" s="499">
        <v>2.518495798110962</v>
      </c>
      <c r="AE26" s="505" t="s">
        <v>708</v>
      </c>
      <c r="AF26" s="499">
        <v>0</v>
      </c>
      <c r="AG26" s="505" t="s">
        <v>708</v>
      </c>
      <c r="AH26" s="499">
        <v>0</v>
      </c>
      <c r="AI26" s="505" t="s">
        <v>708</v>
      </c>
      <c r="AJ26" s="499">
        <v>0</v>
      </c>
      <c r="AK26" s="505" t="s">
        <v>708</v>
      </c>
      <c r="AL26" s="499">
        <v>0</v>
      </c>
      <c r="AM26" s="505" t="s">
        <v>708</v>
      </c>
      <c r="AN26" s="499">
        <v>0</v>
      </c>
      <c r="AO26" s="505" t="s">
        <v>708</v>
      </c>
      <c r="AP26" s="499">
        <v>0</v>
      </c>
      <c r="AQ26" s="505" t="s">
        <v>708</v>
      </c>
      <c r="AR26" s="499">
        <v>0</v>
      </c>
      <c r="AS26" s="505" t="s">
        <v>708</v>
      </c>
      <c r="AT26" s="499">
        <v>0</v>
      </c>
      <c r="AU26" s="505" t="s">
        <v>708</v>
      </c>
      <c r="AV26" s="499">
        <v>0</v>
      </c>
      <c r="AW26" s="505" t="s">
        <v>708</v>
      </c>
      <c r="AY26" s="681"/>
      <c r="AZ26" s="211">
        <v>19</v>
      </c>
      <c r="BA26" s="428" t="s">
        <v>437</v>
      </c>
      <c r="BB26" s="56" t="s">
        <v>531</v>
      </c>
      <c r="BC26" s="56" t="s">
        <v>428</v>
      </c>
      <c r="BD26" s="79"/>
      <c r="BE26" s="66" t="str">
        <f t="shared" si="0"/>
        <v>N/A</v>
      </c>
      <c r="BF26" s="56"/>
      <c r="BG26" s="66" t="str">
        <f t="shared" si="20"/>
        <v>N/A</v>
      </c>
      <c r="BH26" s="56"/>
      <c r="BI26" s="66" t="str">
        <f t="shared" si="1"/>
        <v>ok</v>
      </c>
      <c r="BJ26" s="56"/>
      <c r="BK26" s="66" t="str">
        <f t="shared" si="2"/>
        <v>ok</v>
      </c>
      <c r="BL26" s="56"/>
      <c r="BM26" s="66" t="str">
        <f t="shared" si="3"/>
        <v>ok</v>
      </c>
      <c r="BN26" s="56"/>
      <c r="BO26" s="66" t="str">
        <f t="shared" si="4"/>
        <v>ok</v>
      </c>
      <c r="BP26" s="79"/>
      <c r="BQ26" s="66" t="str">
        <f t="shared" si="5"/>
        <v>ok</v>
      </c>
      <c r="BR26" s="56"/>
      <c r="BS26" s="66" t="str">
        <f t="shared" si="6"/>
        <v>&gt; 25%</v>
      </c>
      <c r="BT26" s="56"/>
      <c r="BU26" s="66" t="str">
        <f t="shared" si="7"/>
        <v>ok</v>
      </c>
      <c r="BV26" s="79"/>
      <c r="BW26" s="66" t="str">
        <f t="shared" si="8"/>
        <v>&gt; 25%</v>
      </c>
      <c r="BX26" s="56"/>
      <c r="BY26" s="66" t="str">
        <f t="shared" si="9"/>
        <v>&gt; 25%</v>
      </c>
      <c r="BZ26" s="56"/>
      <c r="CA26" s="66" t="str">
        <f t="shared" si="10"/>
        <v>&gt; 25%</v>
      </c>
      <c r="CB26" s="56"/>
      <c r="CC26" s="66" t="str">
        <f t="shared" si="11"/>
        <v>&gt; 25%</v>
      </c>
      <c r="CD26" s="56"/>
      <c r="CE26" s="66" t="e">
        <f t="shared" si="12"/>
        <v>#DIV/0!</v>
      </c>
      <c r="CF26" s="56"/>
      <c r="CG26" s="66" t="e">
        <f t="shared" si="13"/>
        <v>#DIV/0!</v>
      </c>
      <c r="CH26" s="79"/>
      <c r="CI26" s="66" t="e">
        <f t="shared" si="14"/>
        <v>#DIV/0!</v>
      </c>
      <c r="CJ26" s="56"/>
      <c r="CK26" s="66" t="e">
        <f t="shared" si="15"/>
        <v>#DIV/0!</v>
      </c>
      <c r="CL26" s="79"/>
      <c r="CM26" s="66" t="e">
        <f t="shared" si="16"/>
        <v>#DIV/0!</v>
      </c>
      <c r="CN26" s="56"/>
      <c r="CO26" s="66" t="e">
        <f t="shared" si="17"/>
        <v>#DIV/0!</v>
      </c>
      <c r="CP26" s="56"/>
      <c r="CQ26" s="66" t="e">
        <f t="shared" si="18"/>
        <v>#DIV/0!</v>
      </c>
      <c r="CR26" s="56"/>
      <c r="CS26" s="66" t="e">
        <f t="shared" si="19"/>
        <v>#DIV/0!</v>
      </c>
      <c r="CT26" s="56"/>
      <c r="CU26" s="679"/>
      <c r="CV26" s="56"/>
      <c r="CW26" s="66"/>
    </row>
    <row r="27" spans="2:101" ht="18" customHeight="1">
      <c r="B27" s="429">
        <v>160</v>
      </c>
      <c r="C27" s="207">
        <v>20</v>
      </c>
      <c r="D27" s="430" t="s">
        <v>314</v>
      </c>
      <c r="E27" s="333" t="s">
        <v>0</v>
      </c>
      <c r="F27" s="494"/>
      <c r="G27" s="506"/>
      <c r="H27" s="494"/>
      <c r="I27" s="506"/>
      <c r="J27" s="494">
        <v>0.30000001192092896</v>
      </c>
      <c r="K27" s="506" t="s">
        <v>709</v>
      </c>
      <c r="L27" s="494">
        <v>0.23000000417232513</v>
      </c>
      <c r="M27" s="506" t="s">
        <v>709</v>
      </c>
      <c r="N27" s="494">
        <v>0.1599999964237213</v>
      </c>
      <c r="O27" s="506" t="s">
        <v>709</v>
      </c>
      <c r="P27" s="494">
        <v>0.12999999523162842</v>
      </c>
      <c r="Q27" s="506"/>
      <c r="R27" s="494">
        <v>0.09000000357627869</v>
      </c>
      <c r="S27" s="506"/>
      <c r="T27" s="494">
        <v>0.1899999976158142</v>
      </c>
      <c r="U27" s="506"/>
      <c r="V27" s="494">
        <v>0.5059999823570251</v>
      </c>
      <c r="W27" s="506"/>
      <c r="X27" s="494">
        <v>1.3559999465942383</v>
      </c>
      <c r="Y27" s="506"/>
      <c r="Z27" s="494">
        <v>1.6009999513626099</v>
      </c>
      <c r="AA27" s="506"/>
      <c r="AB27" s="494">
        <v>1.3329999446868896</v>
      </c>
      <c r="AC27" s="506"/>
      <c r="AD27" s="494">
        <v>1.1690000295639038</v>
      </c>
      <c r="AE27" s="506"/>
      <c r="AF27" s="494">
        <v>1.4479999542236328</v>
      </c>
      <c r="AG27" s="506"/>
      <c r="AH27" s="494">
        <v>1.3209999799728394</v>
      </c>
      <c r="AI27" s="506"/>
      <c r="AJ27" s="494">
        <v>1.3869999647140503</v>
      </c>
      <c r="AK27" s="506"/>
      <c r="AL27" s="494">
        <v>1.375</v>
      </c>
      <c r="AM27" s="506"/>
      <c r="AN27" s="494">
        <v>1.4199999570846558</v>
      </c>
      <c r="AO27" s="506"/>
      <c r="AP27" s="494">
        <v>1.388</v>
      </c>
      <c r="AQ27" s="506"/>
      <c r="AR27" s="494">
        <v>1.426</v>
      </c>
      <c r="AS27" s="506"/>
      <c r="AT27" s="494">
        <v>1.572</v>
      </c>
      <c r="AU27" s="506"/>
      <c r="AV27" s="494">
        <v>1.473</v>
      </c>
      <c r="AW27" s="506"/>
      <c r="AZ27" s="64">
        <v>20</v>
      </c>
      <c r="BA27" s="431" t="s">
        <v>394</v>
      </c>
      <c r="BB27" s="64" t="s">
        <v>0</v>
      </c>
      <c r="BC27" s="64" t="s">
        <v>428</v>
      </c>
      <c r="BD27" s="432"/>
      <c r="BE27" s="64" t="str">
        <f t="shared" si="0"/>
        <v>N/A</v>
      </c>
      <c r="BF27" s="64"/>
      <c r="BG27" s="64" t="str">
        <f t="shared" si="20"/>
        <v>N/A</v>
      </c>
      <c r="BH27" s="64"/>
      <c r="BI27" s="64" t="str">
        <f t="shared" si="1"/>
        <v>ok</v>
      </c>
      <c r="BJ27" s="64"/>
      <c r="BK27" s="64" t="str">
        <f t="shared" si="2"/>
        <v>&gt; 25%</v>
      </c>
      <c r="BL27" s="64"/>
      <c r="BM27" s="64" t="str">
        <f t="shared" si="3"/>
        <v>ok</v>
      </c>
      <c r="BN27" s="64"/>
      <c r="BO27" s="64" t="str">
        <f t="shared" si="4"/>
        <v>&gt; 25%</v>
      </c>
      <c r="BP27" s="64"/>
      <c r="BQ27" s="64" t="str">
        <f t="shared" si="5"/>
        <v>&gt; 25%</v>
      </c>
      <c r="BR27" s="64"/>
      <c r="BS27" s="64" t="str">
        <f t="shared" si="6"/>
        <v>&gt; 25%</v>
      </c>
      <c r="BT27" s="64"/>
      <c r="BU27" s="64" t="str">
        <f t="shared" si="7"/>
        <v>&gt; 25%</v>
      </c>
      <c r="BV27" s="64"/>
      <c r="BW27" s="64" t="str">
        <f t="shared" si="8"/>
        <v>ok</v>
      </c>
      <c r="BX27" s="64"/>
      <c r="BY27" s="64" t="str">
        <f t="shared" si="9"/>
        <v>ok</v>
      </c>
      <c r="BZ27" s="64"/>
      <c r="CA27" s="64" t="str">
        <f t="shared" si="10"/>
        <v>ok</v>
      </c>
      <c r="CB27" s="64"/>
      <c r="CC27" s="64" t="str">
        <f t="shared" si="11"/>
        <v>ok</v>
      </c>
      <c r="CD27" s="64"/>
      <c r="CE27" s="64" t="str">
        <f t="shared" si="12"/>
        <v>ok</v>
      </c>
      <c r="CF27" s="64"/>
      <c r="CG27" s="64" t="str">
        <f t="shared" si="13"/>
        <v>ok</v>
      </c>
      <c r="CH27" s="64"/>
      <c r="CI27" s="64" t="str">
        <f t="shared" si="14"/>
        <v>ok</v>
      </c>
      <c r="CJ27" s="64"/>
      <c r="CK27" s="64" t="str">
        <f t="shared" si="15"/>
        <v>ok</v>
      </c>
      <c r="CL27" s="64"/>
      <c r="CM27" s="64" t="str">
        <f t="shared" si="16"/>
        <v>ok</v>
      </c>
      <c r="CN27" s="64"/>
      <c r="CO27" s="64" t="str">
        <f t="shared" si="17"/>
        <v>ok</v>
      </c>
      <c r="CP27" s="64"/>
      <c r="CQ27" s="64" t="str">
        <f t="shared" si="18"/>
        <v>ok</v>
      </c>
      <c r="CR27" s="64"/>
      <c r="CS27" s="64" t="str">
        <f t="shared" si="19"/>
        <v>ok</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512</v>
      </c>
      <c r="D29" s="223"/>
      <c r="E29" s="393"/>
      <c r="F29" s="307"/>
      <c r="G29" s="307"/>
      <c r="AZ29" s="316" t="s">
        <v>600</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440</v>
      </c>
      <c r="D30" s="891" t="s">
        <v>310</v>
      </c>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Z30" s="181" t="s">
        <v>510</v>
      </c>
      <c r="BA30" s="181" t="s">
        <v>511</v>
      </c>
      <c r="BB30" s="181" t="s">
        <v>513</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440</v>
      </c>
      <c r="D31" s="901" t="s">
        <v>179</v>
      </c>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336"/>
      <c r="AZ31" s="323">
        <v>1</v>
      </c>
      <c r="BA31" s="423" t="s">
        <v>430</v>
      </c>
      <c r="BB31" s="56" t="s">
        <v>608</v>
      </c>
      <c r="BC31" s="79">
        <f>F8</f>
        <v>0</v>
      </c>
      <c r="BD31" s="79"/>
      <c r="BE31" s="79">
        <f>H8</f>
        <v>0</v>
      </c>
      <c r="BF31" s="79"/>
      <c r="BG31" s="79">
        <f>J8</f>
        <v>37.149688720703125</v>
      </c>
      <c r="BH31" s="79"/>
      <c r="BI31" s="79">
        <f>L8</f>
        <v>37.5286865234375</v>
      </c>
      <c r="BJ31" s="79"/>
      <c r="BK31" s="79">
        <f>N8</f>
        <v>37.99543380737305</v>
      </c>
      <c r="BL31" s="79"/>
      <c r="BM31" s="79">
        <f>P8</f>
        <v>40.915287017822266</v>
      </c>
      <c r="BN31" s="79"/>
      <c r="BO31" s="79">
        <f>R8</f>
        <v>43.37346267700195</v>
      </c>
      <c r="BP31" s="79"/>
      <c r="BQ31" s="79">
        <f>T8</f>
        <v>44.43936538696289</v>
      </c>
      <c r="BR31" s="79"/>
      <c r="BS31" s="79">
        <f>V8</f>
        <v>45.95162582397461</v>
      </c>
      <c r="BT31" s="79"/>
      <c r="BU31" s="79">
        <f>X8</f>
        <v>47.03504180908203</v>
      </c>
      <c r="BV31" s="79"/>
      <c r="BW31" s="79">
        <f>Z8</f>
        <v>47.66651916503906</v>
      </c>
      <c r="BX31" s="79"/>
      <c r="BY31" s="79">
        <f>AB8</f>
        <v>47.70989990234375</v>
      </c>
      <c r="BZ31" s="79"/>
      <c r="CA31" s="79">
        <f>AD8</f>
        <v>48.09752655029297</v>
      </c>
      <c r="CB31" s="79"/>
      <c r="CC31" s="79">
        <f>AF8</f>
        <v>46.40000534057617</v>
      </c>
      <c r="CD31" s="79"/>
      <c r="CE31" s="79">
        <f>AH8</f>
        <v>51.37123107910156</v>
      </c>
      <c r="CF31" s="79"/>
      <c r="CG31" s="79">
        <f>AJ8</f>
        <v>56.96699905395508</v>
      </c>
      <c r="CH31" s="79"/>
      <c r="CI31" s="79">
        <f>AL8</f>
        <v>54.9370002746582</v>
      </c>
      <c r="CJ31" s="79"/>
      <c r="CK31" s="79">
        <f>AN8</f>
        <v>54.81999969482422</v>
      </c>
      <c r="CL31" s="79"/>
      <c r="CM31" s="79">
        <f>AP8</f>
        <v>53.287</v>
      </c>
      <c r="CN31" s="79"/>
      <c r="CO31" s="79">
        <f>AR8</f>
        <v>51.591</v>
      </c>
      <c r="CP31" s="79"/>
      <c r="CQ31" s="79">
        <f>AT8</f>
        <v>55.396</v>
      </c>
      <c r="CR31" s="79"/>
      <c r="CS31" s="79">
        <f>AV8</f>
        <v>55.315</v>
      </c>
      <c r="CT31" s="79"/>
      <c r="CU31" s="79"/>
      <c r="CV31" s="79"/>
      <c r="CW31" s="79"/>
      <c r="CX31" s="241"/>
      <c r="CY31" s="241"/>
      <c r="CZ31" s="241"/>
    </row>
    <row r="32" spans="1:104" ht="30" customHeight="1">
      <c r="A32" s="240"/>
      <c r="B32" s="240"/>
      <c r="C32" s="238" t="s">
        <v>440</v>
      </c>
      <c r="D32" s="891" t="s">
        <v>472</v>
      </c>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336"/>
      <c r="AZ32" s="263">
        <v>21</v>
      </c>
      <c r="BA32" s="246" t="s">
        <v>609</v>
      </c>
      <c r="BB32" s="56" t="s">
        <v>608</v>
      </c>
      <c r="BC32" s="79">
        <f>SUM(F9:F12)+SUM(F14:F16)</f>
        <v>0</v>
      </c>
      <c r="BD32" s="79"/>
      <c r="BE32" s="79">
        <f>SUM(H9:H12)+SUM(H14:H16)</f>
        <v>0</v>
      </c>
      <c r="BF32" s="79"/>
      <c r="BG32" s="79">
        <f>SUM(J9:J12)+SUM(J14:J16)</f>
        <v>19.799999237060547</v>
      </c>
      <c r="BH32" s="79"/>
      <c r="BI32" s="79">
        <f>SUM(L9:L12)+SUM(L14:L16)</f>
        <v>19.899999618530273</v>
      </c>
      <c r="BJ32" s="79"/>
      <c r="BK32" s="79">
        <f>SUM(N9:N12)+SUM(N14:N16)</f>
        <v>20.100000381469727</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336"/>
      <c r="AZ33" s="249" t="s">
        <v>441</v>
      </c>
      <c r="BA33" s="246" t="s">
        <v>610</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2" t="str">
        <f>D17&amp;" (W4,10)"</f>
        <v>Eaux usées traitées dans des stations d’épuration des eaux usées urbaines (W4,10)</v>
      </c>
      <c r="V34" s="893"/>
      <c r="W34" s="893"/>
      <c r="X34" s="893"/>
      <c r="Y34" s="893"/>
      <c r="Z34" s="893"/>
      <c r="AA34" s="893"/>
      <c r="AB34" s="894"/>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611</v>
      </c>
      <c r="BB34" s="56" t="s">
        <v>608</v>
      </c>
      <c r="BC34" s="79">
        <f>F17+F21+F25+F26</f>
        <v>0</v>
      </c>
      <c r="BD34" s="79"/>
      <c r="BE34" s="79">
        <f>H17+H21+H25+H26</f>
        <v>0</v>
      </c>
      <c r="BF34" s="79"/>
      <c r="BG34" s="79">
        <f>J17+J21+J25+J26</f>
        <v>37.1496901512146</v>
      </c>
      <c r="BH34" s="79"/>
      <c r="BI34" s="79">
        <f>L17+L21+L25+L26</f>
        <v>37.52868580818176</v>
      </c>
      <c r="BJ34" s="79"/>
      <c r="BK34" s="79">
        <f>N17+N21+N25+N26</f>
        <v>37.99543285369873</v>
      </c>
      <c r="BL34" s="79"/>
      <c r="BM34" s="79">
        <f>P17+P21+P25+P26</f>
        <v>40.915287017822266</v>
      </c>
      <c r="BN34" s="79"/>
      <c r="BO34" s="79">
        <f>R17+R21+R25+R26</f>
        <v>43.37346172332764</v>
      </c>
      <c r="BP34" s="79"/>
      <c r="BQ34" s="79">
        <f>T17+T21+T25+T26</f>
        <v>44.439363956451416</v>
      </c>
      <c r="BR34" s="79"/>
      <c r="BS34" s="79">
        <f>V17+V21+V25+V26</f>
        <v>45.95162391662598</v>
      </c>
      <c r="BT34" s="79"/>
      <c r="BU34" s="79">
        <f>X17+X21+X25+X26</f>
        <v>47.03504276275635</v>
      </c>
      <c r="BV34" s="79"/>
      <c r="BW34" s="79">
        <f>Z17+Z21+Z25+Z26</f>
        <v>47.666518211364746</v>
      </c>
      <c r="BX34" s="79"/>
      <c r="BY34" s="79">
        <f>AB17+AB21+AB25+AB26</f>
        <v>47.709902132861316</v>
      </c>
      <c r="BZ34" s="79"/>
      <c r="CA34" s="79">
        <f>AD17+AD21+AD25+AD26</f>
        <v>48.09752869606018</v>
      </c>
      <c r="CB34" s="79"/>
      <c r="CC34" s="79">
        <f>AF17+AF21+AF25+AF26</f>
        <v>46.40000534057617</v>
      </c>
      <c r="CD34" s="79"/>
      <c r="CE34" s="79">
        <f>AH17+AH21+AH25+AH26</f>
        <v>51.37123107910156</v>
      </c>
      <c r="CF34" s="79"/>
      <c r="CG34" s="79">
        <f>AJ17+AJ21+AJ25+AJ26</f>
        <v>56.96699905395508</v>
      </c>
      <c r="CH34" s="79"/>
      <c r="CI34" s="79">
        <f>AL17+AL21+AL25+AL26</f>
        <v>54.9370002746582</v>
      </c>
      <c r="CJ34" s="79"/>
      <c r="CK34" s="79">
        <f>AN17+AN21+AN25+AN26</f>
        <v>54.8199996948242</v>
      </c>
      <c r="CL34" s="79"/>
      <c r="CM34" s="79">
        <f>AP17+AP21+AP25+AP26</f>
        <v>53.287</v>
      </c>
      <c r="CN34" s="79"/>
      <c r="CO34" s="79">
        <f>AR17+AR21+AR25+AR26</f>
        <v>51.591</v>
      </c>
      <c r="CP34" s="79"/>
      <c r="CQ34" s="79">
        <f>AT17+AT21+AT25+AT26</f>
        <v>55.396</v>
      </c>
      <c r="CR34" s="79"/>
      <c r="CS34" s="79">
        <f>AV17+AV21+AV25+AV26</f>
        <v>55.315</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441</v>
      </c>
      <c r="BA36" s="246" t="s">
        <v>612</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&lt;&gt;</v>
      </c>
      <c r="BH36" s="56"/>
      <c r="BI36" s="56" t="str">
        <f>IF(OR(ISBLANK(L8),ISBLANK(L17),ISBLANK(L21),ISBLANK(L25),ISBLANK(L26)),"N/A",IF((BI31=BI34),"ok","&lt;&gt;"))</f>
        <v>&lt;&gt;</v>
      </c>
      <c r="BJ36" s="56"/>
      <c r="BK36" s="56" t="str">
        <f>IF(OR(ISBLANK(N8),ISBLANK(N17),ISBLANK(N21),ISBLANK(N25),ISBLANK(N26)),"N/A",IF((BK31=BK34),"ok","&lt;&gt;"))</f>
        <v>&lt;&gt;</v>
      </c>
      <c r="BL36" s="56"/>
      <c r="BM36" s="56" t="str">
        <f>IF(OR(ISBLANK(P8),ISBLANK(P17),ISBLANK(P21),ISBLANK(P25),ISBLANK(P26)),"N/A",IF((BM31=BM34),"ok","&lt;&gt;"))</f>
        <v>ok</v>
      </c>
      <c r="BN36" s="56"/>
      <c r="BO36" s="56" t="str">
        <f>IF(OR(ISBLANK(R8),ISBLANK(R17),ISBLANK(R21),ISBLANK(R25),ISBLANK(R26)),"N/A",IF((BO31=BO34),"ok","&lt;&gt;"))</f>
        <v>&lt;&gt;</v>
      </c>
      <c r="BP36" s="56"/>
      <c r="BQ36" s="56" t="str">
        <f>IF(OR(ISBLANK(T8),ISBLANK(T17),ISBLANK(T21),ISBLANK(T25),ISBLANK(T26)),"N/A",IF((BQ31=BQ34),"ok","&lt;&gt;"))</f>
        <v>&lt;&gt;</v>
      </c>
      <c r="BR36" s="56"/>
      <c r="BS36" s="56" t="str">
        <f>IF(OR(ISBLANK(V8),ISBLANK(V17),ISBLANK(V21),ISBLANK(V25),ISBLANK(V26)),"N/A",IF((BS31=BS34),"ok","&lt;&gt;"))</f>
        <v>&lt;&gt;</v>
      </c>
      <c r="BT36" s="56"/>
      <c r="BU36" s="56" t="str">
        <f>IF(OR(ISBLANK(X8),ISBLANK(X17),ISBLANK(X21),ISBLANK(X25),ISBLANK(X26)),"N/A",IF((BU31=BU34),"ok","&lt;&gt;"))</f>
        <v>&lt;&gt;</v>
      </c>
      <c r="BV36" s="56"/>
      <c r="BW36" s="56" t="str">
        <f>IF(OR(ISBLANK(Z8),ISBLANK(Z17),ISBLANK(Z21),ISBLANK(Z25),ISBLANK(Z26)),"N/A",IF((BW31=BW34),"ok","&lt;&gt;"))</f>
        <v>&lt;&gt;</v>
      </c>
      <c r="BX36" s="56"/>
      <c r="BY36" s="56" t="str">
        <f>IF(OR(ISBLANK(AB8),ISBLANK(AB17),ISBLANK(AB21),ISBLANK(AB25),ISBLANK(AB26)),"N/A",IF((BY31=BY34),"ok","&lt;&gt;"))</f>
        <v>&lt;&gt;</v>
      </c>
      <c r="BZ36" s="56"/>
      <c r="CA36" s="56" t="str">
        <f>IF(OR(ISBLANK(AD8),ISBLANK(AD17),ISBLANK(AD21),ISBLANK(AD25),ISBLANK(AD26)),"N/A",IF((CA31=CA34),"ok","&lt;&gt;"))</f>
        <v>&lt;&gt;</v>
      </c>
      <c r="CB36" s="56"/>
      <c r="CC36" s="56" t="str">
        <f>IF(OR(ISBLANK(AF8),ISBLANK(AF17),ISBLANK(AF21),ISBLANK(AF25),ISBLANK(AF26)),"N/A",IF((CC31=CC34),"ok","&lt;&gt;"))</f>
        <v>ok</v>
      </c>
      <c r="CD36" s="56"/>
      <c r="CE36" s="56" t="str">
        <f>IF(OR(ISBLANK(AH8),ISBLANK(AH17),ISBLANK(AH21),ISBLANK(AH25),ISBLANK(AH26)),"N/A",IF((CE31=CE34),"ok","&lt;&gt;"))</f>
        <v>ok</v>
      </c>
      <c r="CF36" s="56"/>
      <c r="CG36" s="56" t="str">
        <f>IF(OR(ISBLANK(AJ8),ISBLANK(AJ17),ISBLANK(AJ21),ISBLANK(AJ25),ISBLANK(AJ26)),"N/A",IF((CG31=CG34),"ok","&lt;&gt;"))</f>
        <v>ok</v>
      </c>
      <c r="CH36" s="56"/>
      <c r="CI36" s="56" t="str">
        <f>IF(OR(ISBLANK(AL8),ISBLANK(AL17),ISBLANK(AL21),ISBLANK(AL25),ISBLANK(AL26)),"N/A",IF((CI31=CI34),"ok","&lt;&gt;"))</f>
        <v>ok</v>
      </c>
      <c r="CJ36" s="56"/>
      <c r="CK36" s="56" t="str">
        <f>IF(OR(ISBLANK(AN8),ISBLANK(AN17),ISBLANK(AN21),ISBLANK(AN25),ISBLANK(AN26)),"N/A",IF((CK31=CK34),"ok","&lt;&gt;"))</f>
        <v>ok</v>
      </c>
      <c r="CL36" s="56"/>
      <c r="CM36" s="56" t="str">
        <f>IF(OR(ISBLANK(AP8),ISBLANK(AP17),ISBLANK(AP21),ISBLANK(AP25),ISBLANK(AP26)),"N/A",IF((CM31=CM34),"ok","&lt;&gt;"))</f>
        <v>ok</v>
      </c>
      <c r="CN36" s="56"/>
      <c r="CO36" s="56" t="str">
        <f>IF(OR(ISBLANK(AR8),ISBLANK(AR17),ISBLANK(AR21),ISBLANK(AR25),ISBLANK(AR26)),"N/A",IF((CO31=CO34),"ok","&lt;&gt;"))</f>
        <v>ok</v>
      </c>
      <c r="CP36" s="56"/>
      <c r="CQ36" s="56" t="str">
        <f>IF(OR(ISBLANK(AT8),ISBLANK(AT17),ISBLANK(AT21),ISBLANK(AT25),ISBLANK(AT26)),"N/A",IF((CQ31=CQ34),"ok","&lt;&gt;"))</f>
        <v>ok</v>
      </c>
      <c r="CR36" s="56"/>
      <c r="CS36" s="56" t="str">
        <f>IF(OR(ISBLANK(AV8),ISBLANK(AV17),ISBLANK(AV21),ISBLANK(AV25),ISBLANK(AV26)),"N/A",IF((CS31=CS34),"ok","&lt;&gt;"))</f>
        <v>ok</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6" t="str">
        <f>D8&amp;" (W4,1)"</f>
        <v>Volume total d’eaux usées produites (W4,1)</v>
      </c>
      <c r="K38" s="870"/>
      <c r="L38" s="870"/>
      <c r="M38" s="870"/>
      <c r="N38" s="871"/>
      <c r="O38" s="242"/>
      <c r="P38" s="242"/>
      <c r="Q38" s="242"/>
      <c r="R38" s="242"/>
      <c r="S38" s="242"/>
      <c r="T38" s="242"/>
      <c r="U38" s="892" t="str">
        <f>D21&amp;" (W4,14)"</f>
        <v>Eaux usées traitées dans d’autres stations d’épuration (W4,14)</v>
      </c>
      <c r="V38" s="893"/>
      <c r="W38" s="893"/>
      <c r="X38" s="893"/>
      <c r="Y38" s="893"/>
      <c r="Z38" s="893"/>
      <c r="AA38" s="893"/>
      <c r="AB38" s="894"/>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436</v>
      </c>
      <c r="BB38" s="56" t="s">
        <v>608</v>
      </c>
      <c r="BC38" s="79">
        <f>F17</f>
        <v>0</v>
      </c>
      <c r="BD38" s="79"/>
      <c r="BE38" s="79">
        <f>H17</f>
        <v>0</v>
      </c>
      <c r="BF38" s="79"/>
      <c r="BG38" s="79">
        <f>J17</f>
        <v>2.5999999046325684</v>
      </c>
      <c r="BH38" s="79"/>
      <c r="BI38" s="79">
        <f>L17</f>
        <v>2.700000047683716</v>
      </c>
      <c r="BJ38" s="79"/>
      <c r="BK38" s="79">
        <f>N17</f>
        <v>5.699999809265137</v>
      </c>
      <c r="BL38" s="79"/>
      <c r="BM38" s="79">
        <f>P17</f>
        <v>9.5</v>
      </c>
      <c r="BN38" s="79"/>
      <c r="BO38" s="79">
        <f>R17</f>
        <v>8.199999809265137</v>
      </c>
      <c r="BP38" s="79"/>
      <c r="BQ38" s="79">
        <f>T17</f>
        <v>6.400000095367432</v>
      </c>
      <c r="BR38" s="79"/>
      <c r="BS38" s="79">
        <f>V17</f>
        <v>32.29999923706055</v>
      </c>
      <c r="BT38" s="79"/>
      <c r="BU38" s="79">
        <f>X17</f>
        <v>35.20000076293945</v>
      </c>
      <c r="BV38" s="79"/>
      <c r="BW38" s="79">
        <f>Z17</f>
        <v>41.79999923706055</v>
      </c>
      <c r="BX38" s="79"/>
      <c r="BY38" s="79">
        <f>AB17</f>
        <v>47.70000076293945</v>
      </c>
      <c r="BZ38" s="79"/>
      <c r="CA38" s="79">
        <f>AD17</f>
        <v>45.57903289794922</v>
      </c>
      <c r="CB38" s="79"/>
      <c r="CC38" s="79">
        <f>AF17</f>
        <v>46.40000534057617</v>
      </c>
      <c r="CD38" s="79"/>
      <c r="CE38" s="79">
        <f>AH17</f>
        <v>51.37123107910156</v>
      </c>
      <c r="CF38" s="79"/>
      <c r="CG38" s="79">
        <f>AJ17</f>
        <v>56.96699905395508</v>
      </c>
      <c r="CH38" s="79"/>
      <c r="CI38" s="79">
        <f>AL17</f>
        <v>54.9370002746582</v>
      </c>
      <c r="CJ38" s="79"/>
      <c r="CK38" s="79">
        <f>AN17</f>
        <v>54.8199996948242</v>
      </c>
      <c r="CL38" s="79"/>
      <c r="CM38" s="79">
        <f>AP17</f>
        <v>53.287</v>
      </c>
      <c r="CN38" s="79"/>
      <c r="CO38" s="79">
        <f>AR17</f>
        <v>51.591</v>
      </c>
      <c r="CP38" s="79"/>
      <c r="CQ38" s="79">
        <f>AT17</f>
        <v>55.396</v>
      </c>
      <c r="CR38" s="79"/>
      <c r="CS38" s="79">
        <f>AV17</f>
        <v>55.315</v>
      </c>
      <c r="CT38" s="79"/>
      <c r="CU38" s="79"/>
      <c r="CV38" s="79"/>
      <c r="CW38" s="79"/>
      <c r="CX38" s="241"/>
      <c r="CY38" s="241"/>
      <c r="CZ38" s="241"/>
    </row>
    <row r="39" spans="1:104" ht="7.5" customHeight="1">
      <c r="A39" s="240"/>
      <c r="B39" s="240"/>
      <c r="C39" s="238"/>
      <c r="D39" s="440"/>
      <c r="E39" s="242"/>
      <c r="F39" s="242"/>
      <c r="G39" s="242"/>
      <c r="H39" s="242"/>
      <c r="I39" s="242"/>
      <c r="J39" s="897"/>
      <c r="K39" s="898"/>
      <c r="L39" s="898"/>
      <c r="M39" s="898"/>
      <c r="N39" s="899"/>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7"/>
      <c r="K40" s="898"/>
      <c r="L40" s="898"/>
      <c r="M40" s="898"/>
      <c r="N40" s="899"/>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613</v>
      </c>
      <c r="BB40" s="77" t="s">
        <v>608</v>
      </c>
      <c r="BC40" s="79">
        <f>SUM(F18:F20)</f>
        <v>0</v>
      </c>
      <c r="BD40" s="79"/>
      <c r="BE40" s="79">
        <f>SUM(H18:H20)</f>
        <v>0</v>
      </c>
      <c r="BF40" s="79"/>
      <c r="BG40" s="79">
        <f>SUM(J18:J20)</f>
        <v>2.5999999046325684</v>
      </c>
      <c r="BH40" s="79"/>
      <c r="BI40" s="79">
        <f>SUM(L18:L20)</f>
        <v>2.700000047683716</v>
      </c>
      <c r="BJ40" s="79"/>
      <c r="BK40" s="79">
        <f>SUM(N18:N20)</f>
        <v>5.699999809265137</v>
      </c>
      <c r="BL40" s="79"/>
      <c r="BM40" s="79">
        <f>SUM(P18:P20)</f>
        <v>9.5</v>
      </c>
      <c r="BN40" s="79"/>
      <c r="BO40" s="79">
        <f>SUM(R18:R20)</f>
        <v>8.199999809265137</v>
      </c>
      <c r="BP40" s="79"/>
      <c r="BQ40" s="79">
        <f>SUM(T18:T20)</f>
        <v>6.400000095367432</v>
      </c>
      <c r="BR40" s="79"/>
      <c r="BS40" s="79">
        <f>SUM(V18:V20)</f>
        <v>32.29999923706055</v>
      </c>
      <c r="BT40" s="79"/>
      <c r="BU40" s="79">
        <f>SUM(X18:X20)</f>
        <v>35.20000076293945</v>
      </c>
      <c r="BV40" s="79"/>
      <c r="BW40" s="79">
        <f>SUM(Z18:Z20)</f>
        <v>41.79999923706055</v>
      </c>
      <c r="BX40" s="79"/>
      <c r="BY40" s="79">
        <f>SUM(AB18:AB20)</f>
        <v>47.70000076293945</v>
      </c>
      <c r="BZ40" s="79"/>
      <c r="CA40" s="79">
        <f>SUM(AD18:AD20)</f>
        <v>45.57903289794922</v>
      </c>
      <c r="CB40" s="79"/>
      <c r="CC40" s="79">
        <f>SUM(AF18:AF20)</f>
        <v>46.40000534057617</v>
      </c>
      <c r="CD40" s="79"/>
      <c r="CE40" s="79">
        <f>SUM(AH18:AH20)</f>
        <v>51.37123107910156</v>
      </c>
      <c r="CF40" s="79"/>
      <c r="CG40" s="79">
        <f>SUM(AJ18:AJ20)</f>
        <v>56.96699905395508</v>
      </c>
      <c r="CH40" s="79"/>
      <c r="CI40" s="79">
        <f>SUM(AL18:AL20)</f>
        <v>54.9370002746582</v>
      </c>
      <c r="CJ40" s="79"/>
      <c r="CK40" s="79">
        <f>SUM(AN18:AN20)</f>
        <v>54.81999969482422</v>
      </c>
      <c r="CL40" s="79"/>
      <c r="CM40" s="79">
        <f>SUM(AP18:AP20)</f>
        <v>53.287</v>
      </c>
      <c r="CN40" s="79"/>
      <c r="CO40" s="79">
        <f>SUM(AR18:AR20)</f>
        <v>51.591</v>
      </c>
      <c r="CP40" s="79"/>
      <c r="CQ40" s="79">
        <f>SUM(AT18:AT20)</f>
        <v>55.396</v>
      </c>
      <c r="CR40" s="79"/>
      <c r="CS40" s="79">
        <f>SUM(AV18:AV20)</f>
        <v>55.315</v>
      </c>
      <c r="CT40" s="79"/>
      <c r="CU40" s="79"/>
      <c r="CV40" s="79"/>
      <c r="CW40" s="79"/>
      <c r="CX40" s="241"/>
      <c r="CY40" s="241"/>
      <c r="CZ40" s="241"/>
    </row>
    <row r="41" spans="1:104" ht="7.5" customHeight="1">
      <c r="A41" s="240"/>
      <c r="B41" s="240"/>
      <c r="C41" s="238"/>
      <c r="D41" s="251"/>
      <c r="E41" s="242"/>
      <c r="F41" s="242"/>
      <c r="G41" s="242"/>
      <c r="H41" s="242"/>
      <c r="I41" s="242"/>
      <c r="J41" s="872"/>
      <c r="K41" s="873"/>
      <c r="L41" s="873"/>
      <c r="M41" s="873"/>
      <c r="N41" s="874"/>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2" t="str">
        <f>D25&amp;" (W4,18)"</f>
        <v>Eaux usées traitées dans des moyens d’épuration indépendants (W4,18)</v>
      </c>
      <c r="V42" s="893"/>
      <c r="W42" s="893"/>
      <c r="X42" s="893"/>
      <c r="Y42" s="893"/>
      <c r="Z42" s="893"/>
      <c r="AA42" s="893"/>
      <c r="AB42" s="894"/>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441</v>
      </c>
      <c r="BA42" s="246" t="s">
        <v>614</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ok</v>
      </c>
      <c r="BH42" s="77"/>
      <c r="BI42" s="77" t="str">
        <f>IF(OR(ISBLANK(L17),ISBLANK(L18),ISBLANK(L19),ISBLANK(L20)),"N/A",IF((BI38=BI40),"ok","&lt;&gt;"))</f>
        <v>ok</v>
      </c>
      <c r="BJ42" s="77"/>
      <c r="BK42" s="77" t="str">
        <f>IF(OR(ISBLANK(N17),ISBLANK(N18),ISBLANK(N19),ISBLANK(N20)),"N/A",IF((BK38=BK40),"ok","&lt;&gt;"))</f>
        <v>ok</v>
      </c>
      <c r="BL42" s="77"/>
      <c r="BM42" s="77" t="str">
        <f>IF(OR(ISBLANK(P17),ISBLANK(P18),ISBLANK(P19),ISBLANK(P20)),"N/A",IF((BM38=BM40),"ok","&lt;&gt;"))</f>
        <v>ok</v>
      </c>
      <c r="BN42" s="77"/>
      <c r="BO42" s="77" t="str">
        <f>IF(OR(ISBLANK(R17),ISBLANK(R18),ISBLANK(R19),ISBLANK(R20)),"N/A",IF((BO38=BO40),"ok","&lt;&gt;"))</f>
        <v>ok</v>
      </c>
      <c r="BP42" s="77"/>
      <c r="BQ42" s="77" t="str">
        <f>IF(OR(ISBLANK(T17),ISBLANK(T18),ISBLANK(T19),ISBLANK(T20)),"N/A",IF((BQ38=BQ40),"ok","&lt;&gt;"))</f>
        <v>ok</v>
      </c>
      <c r="BR42" s="77"/>
      <c r="BS42" s="77" t="str">
        <f>IF(OR(ISBLANK(V17),ISBLANK(V18),ISBLANK(V19),ISBLANK(V20)),"N/A",IF((BS38=BS40),"ok","&lt;&gt;"))</f>
        <v>ok</v>
      </c>
      <c r="BT42" s="77"/>
      <c r="BU42" s="77" t="str">
        <f>IF(OR(ISBLANK(X17),ISBLANK(X18),ISBLANK(X19),ISBLANK(X20)),"N/A",IF((BU38=BU40),"ok","&lt;&gt;"))</f>
        <v>ok</v>
      </c>
      <c r="BV42" s="77"/>
      <c r="BW42" s="77" t="str">
        <f>IF(OR(ISBLANK(Z17),ISBLANK(Z18),ISBLANK(Z19),ISBLANK(Z20)),"N/A",IF((BW38=BW40),"ok","&lt;&gt;"))</f>
        <v>ok</v>
      </c>
      <c r="BX42" s="77"/>
      <c r="BY42" s="77" t="str">
        <f>IF(OR(ISBLANK(AB17),ISBLANK(AB18),ISBLANK(AB19),ISBLANK(AB20)),"N/A",IF((BY38=BY40),"ok","&lt;&gt;"))</f>
        <v>ok</v>
      </c>
      <c r="BZ42" s="77"/>
      <c r="CA42" s="77" t="str">
        <f>IF(OR(ISBLANK(AD17),ISBLANK(AD18),ISBLANK(AD19),ISBLANK(AD20)),"N/A",IF((CA38=CA40),"ok","&lt;&gt;"))</f>
        <v>ok</v>
      </c>
      <c r="CB42" s="77"/>
      <c r="CC42" s="77" t="str">
        <f>IF(OR(ISBLANK(AF17),ISBLANK(AF18),ISBLANK(AF19),ISBLANK(AF20)),"N/A",IF((CC38=CC40),"ok","&lt;&gt;"))</f>
        <v>ok</v>
      </c>
      <c r="CD42" s="77"/>
      <c r="CE42" s="77" t="str">
        <f>IF(OR(ISBLANK(AH17),ISBLANK(AH18),ISBLANK(AH19),ISBLANK(AH20)),"N/A",IF((CE38=CE40),"ok","&lt;&gt;"))</f>
        <v>ok</v>
      </c>
      <c r="CF42" s="77"/>
      <c r="CG42" s="77" t="str">
        <f>IF(OR(ISBLANK(AJ17),ISBLANK(AJ18),ISBLANK(AJ19),ISBLANK(AJ20)),"N/A",IF((CG38=CG40),"ok","&lt;&gt;"))</f>
        <v>ok</v>
      </c>
      <c r="CH42" s="77"/>
      <c r="CI42" s="77" t="str">
        <f>IF(OR(ISBLANK(AL17),ISBLANK(AL18),ISBLANK(AL19),ISBLANK(AL20)),"N/A",IF((CI38=CI40),"ok","&lt;&gt;"))</f>
        <v>ok</v>
      </c>
      <c r="CJ42" s="77"/>
      <c r="CK42" s="77" t="str">
        <f>IF(OR(ISBLANK(AN17),ISBLANK(AN18),ISBLANK(AN19),ISBLANK(AN20)),"N/A",IF((CK38=CK40),"ok","&lt;&gt;"))</f>
        <v>ok</v>
      </c>
      <c r="CL42" s="77"/>
      <c r="CM42" s="77" t="str">
        <f>IF(OR(ISBLANK(AP17),ISBLANK(AP18),ISBLANK(AP19),ISBLANK(AP20)),"N/A",IF((CM38=CM40),"ok","&lt;&gt;"))</f>
        <v>ok</v>
      </c>
      <c r="CN42" s="77"/>
      <c r="CO42" s="77" t="str">
        <f>IF(OR(ISBLANK(AR17),ISBLANK(AR18),ISBLANK(AR19),ISBLANK(AR20)),"N/A",IF((CO38=CO40),"ok","&lt;&gt;"))</f>
        <v>ok</v>
      </c>
      <c r="CP42" s="77"/>
      <c r="CQ42" s="77" t="str">
        <f>IF(OR(ISBLANK(AT17),ISBLANK(AT18),ISBLANK(AT19),ISBLANK(AT20)),"N/A",IF((CQ38=CQ40),"ok","&lt;&gt;"))</f>
        <v>ok</v>
      </c>
      <c r="CR42" s="77"/>
      <c r="CS42" s="77" t="str">
        <f>IF(OR(ISBLANK(AV17),ISBLANK(AV18),ISBLANK(AV19),ISBLANK(AV20)),"N/A",IF((CS38=CS40),"ok","&lt;&gt;"))</f>
        <v>ok</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433</v>
      </c>
      <c r="BB44" s="77" t="s">
        <v>608</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2" t="str">
        <f>D26&amp;" (W4,19)"</f>
        <v>Eaux usées non traitées (W4,19)</v>
      </c>
      <c r="V46" s="893"/>
      <c r="W46" s="893"/>
      <c r="X46" s="893"/>
      <c r="Y46" s="893"/>
      <c r="Z46" s="893"/>
      <c r="AA46" s="893"/>
      <c r="AB46" s="894"/>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615</v>
      </c>
      <c r="BB46" s="56" t="s">
        <v>608</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441</v>
      </c>
      <c r="BA47" s="274" t="s">
        <v>493</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298</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409</v>
      </c>
      <c r="BA48" s="276" t="s">
        <v>410</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411</v>
      </c>
      <c r="BA49" s="276" t="s">
        <v>412</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515</v>
      </c>
      <c r="D50" s="407" t="s">
        <v>299</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414</v>
      </c>
      <c r="BA50" s="276" t="s">
        <v>416</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1:101" ht="18" customHeight="1">
      <c r="A51" s="136">
        <v>0</v>
      </c>
      <c r="B51" s="137">
        <v>6735</v>
      </c>
      <c r="C51" s="490" t="s">
        <v>704</v>
      </c>
      <c r="D51" s="794" t="s">
        <v>733</v>
      </c>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822"/>
      <c r="AZ51" s="277" t="s">
        <v>413</v>
      </c>
      <c r="BA51" s="276" t="s">
        <v>378</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1:101" ht="18" customHeight="1">
      <c r="A52" s="136">
        <v>1</v>
      </c>
      <c r="B52" s="137">
        <v>158</v>
      </c>
      <c r="C52" s="490" t="s">
        <v>705</v>
      </c>
      <c r="D52" s="790" t="s">
        <v>724</v>
      </c>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1:101" ht="18" customHeight="1">
      <c r="A53" s="136">
        <v>1</v>
      </c>
      <c r="B53" s="137">
        <v>5344</v>
      </c>
      <c r="C53" s="490" t="s">
        <v>706</v>
      </c>
      <c r="D53" s="790" t="s">
        <v>725</v>
      </c>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1:101" ht="18" customHeight="1">
      <c r="A54" s="136">
        <v>0</v>
      </c>
      <c r="B54" s="137">
        <v>5342</v>
      </c>
      <c r="C54" s="490" t="s">
        <v>707</v>
      </c>
      <c r="D54" s="790" t="s">
        <v>726</v>
      </c>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1:101" ht="18" customHeight="1">
      <c r="A55" s="136">
        <v>0</v>
      </c>
      <c r="B55" s="137">
        <v>6736</v>
      </c>
      <c r="C55" s="490" t="s">
        <v>708</v>
      </c>
      <c r="D55" s="790" t="s">
        <v>734</v>
      </c>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1:50" ht="18" customHeight="1">
      <c r="A56" s="136">
        <v>1</v>
      </c>
      <c r="B56" s="137">
        <v>3024</v>
      </c>
      <c r="C56" s="490" t="s">
        <v>709</v>
      </c>
      <c r="D56" s="790" t="s">
        <v>727</v>
      </c>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row>
    <row r="57" spans="3:50"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row>
    <row r="58" spans="3:50"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row>
    <row r="59" spans="3:50"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row>
    <row r="60" spans="3:50"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row>
    <row r="61" spans="3:50"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row>
    <row r="62" spans="3:50"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row>
    <row r="63" spans="3:50"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row>
    <row r="64" spans="3:50"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row>
    <row r="65" spans="3:50"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row>
    <row r="66" spans="3:50"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row>
    <row r="67" spans="3:50"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row>
    <row r="68" spans="3:50"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row>
    <row r="69" spans="3:50" ht="18" customHeight="1">
      <c r="C69" s="490"/>
      <c r="D69" s="790"/>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823"/>
    </row>
    <row r="70" spans="3:50" ht="18" customHeight="1">
      <c r="C70" s="490"/>
      <c r="D70" s="790"/>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823"/>
    </row>
    <row r="71" spans="3:50" ht="18" customHeight="1">
      <c r="C71" s="500"/>
      <c r="D71" s="790"/>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row>
    <row r="72" spans="3:50" ht="18" customHeight="1">
      <c r="C72" s="498"/>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25"/>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formatCells="0" formatColumns="0" formatRows="0" insertColumn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F8">
    <cfRule type="cellIs" priority="115" dxfId="339" operator="lessThan" stopIfTrue="1">
      <formula>0.99*(F9+F11+F12+F15+F16)</formula>
    </cfRule>
  </conditionalFormatting>
  <conditionalFormatting sqref="F17">
    <cfRule type="cellIs" priority="114" dxfId="339" operator="lessThan" stopIfTrue="1">
      <formula>0.99*(F18+F19+F20)</formula>
    </cfRule>
  </conditionalFormatting>
  <conditionalFormatting sqref="F21">
    <cfRule type="cellIs" priority="113" dxfId="339" operator="lessThan" stopIfTrue="1">
      <formula>0.99*(F22+F23+F24)</formula>
    </cfRule>
  </conditionalFormatting>
  <conditionalFormatting sqref="H8">
    <cfRule type="cellIs" priority="112" dxfId="339" operator="lessThan" stopIfTrue="1">
      <formula>0.99*(H9+H11+H12+H15+H16)</formula>
    </cfRule>
  </conditionalFormatting>
  <conditionalFormatting sqref="H17">
    <cfRule type="cellIs" priority="111" dxfId="339" operator="lessThan" stopIfTrue="1">
      <formula>0.99*(H18+H19+H20)</formula>
    </cfRule>
  </conditionalFormatting>
  <conditionalFormatting sqref="H21">
    <cfRule type="cellIs" priority="110" dxfId="339" operator="lessThan" stopIfTrue="1">
      <formula>0.99*(H22+H23+H24)</formula>
    </cfRule>
  </conditionalFormatting>
  <conditionalFormatting sqref="J8">
    <cfRule type="cellIs" priority="109" dxfId="339" operator="lessThan" stopIfTrue="1">
      <formula>0.99*(J9+J11+J12+J15+J16)</formula>
    </cfRule>
  </conditionalFormatting>
  <conditionalFormatting sqref="J17">
    <cfRule type="cellIs" priority="108" dxfId="339" operator="lessThan" stopIfTrue="1">
      <formula>0.99*(J18+J19+J20)</formula>
    </cfRule>
  </conditionalFormatting>
  <conditionalFormatting sqref="J21">
    <cfRule type="cellIs" priority="107" dxfId="339" operator="lessThan" stopIfTrue="1">
      <formula>0.99*(J22+J23+J24)</formula>
    </cfRule>
  </conditionalFormatting>
  <conditionalFormatting sqref="L8">
    <cfRule type="cellIs" priority="106" dxfId="339" operator="lessThan" stopIfTrue="1">
      <formula>0.99*(L9+L11+L12+L15+L16)</formula>
    </cfRule>
  </conditionalFormatting>
  <conditionalFormatting sqref="L17">
    <cfRule type="cellIs" priority="105" dxfId="339" operator="lessThan" stopIfTrue="1">
      <formula>0.99*(L18+L19+L20)</formula>
    </cfRule>
  </conditionalFormatting>
  <conditionalFormatting sqref="L21">
    <cfRule type="cellIs" priority="104" dxfId="339" operator="lessThan" stopIfTrue="1">
      <formula>0.99*(L22+L23+L24)</formula>
    </cfRule>
  </conditionalFormatting>
  <conditionalFormatting sqref="N8">
    <cfRule type="cellIs" priority="103" dxfId="339" operator="lessThan" stopIfTrue="1">
      <formula>0.99*(N9+N11+N12+N15+N16)</formula>
    </cfRule>
  </conditionalFormatting>
  <conditionalFormatting sqref="N17">
    <cfRule type="cellIs" priority="102" dxfId="339" operator="lessThan" stopIfTrue="1">
      <formula>0.99*(N18+N19+N20)</formula>
    </cfRule>
  </conditionalFormatting>
  <conditionalFormatting sqref="N21">
    <cfRule type="cellIs" priority="101" dxfId="339" operator="lessThan" stopIfTrue="1">
      <formula>0.99*(N22+N23+N24)</formula>
    </cfRule>
  </conditionalFormatting>
  <conditionalFormatting sqref="P8">
    <cfRule type="cellIs" priority="100" dxfId="339" operator="lessThan" stopIfTrue="1">
      <formula>0.99*(P9+P11+P12+P15+P16)</formula>
    </cfRule>
  </conditionalFormatting>
  <conditionalFormatting sqref="P17">
    <cfRule type="cellIs" priority="99" dxfId="339" operator="lessThan" stopIfTrue="1">
      <formula>0.99*(P18+P19+P20)</formula>
    </cfRule>
  </conditionalFormatting>
  <conditionalFormatting sqref="P21">
    <cfRule type="cellIs" priority="98" dxfId="339" operator="lessThan" stopIfTrue="1">
      <formula>0.99*(P22+P23+P24)</formula>
    </cfRule>
  </conditionalFormatting>
  <conditionalFormatting sqref="R8">
    <cfRule type="cellIs" priority="97" dxfId="339" operator="lessThan" stopIfTrue="1">
      <formula>0.99*(R9+R11+R12+R15+R16)</formula>
    </cfRule>
  </conditionalFormatting>
  <conditionalFormatting sqref="R17">
    <cfRule type="cellIs" priority="96" dxfId="339" operator="lessThan" stopIfTrue="1">
      <formula>0.99*(R18+R19+R20)</formula>
    </cfRule>
  </conditionalFormatting>
  <conditionalFormatting sqref="R21">
    <cfRule type="cellIs" priority="95" dxfId="339" operator="lessThan" stopIfTrue="1">
      <formula>0.99*(R22+R23+R24)</formula>
    </cfRule>
  </conditionalFormatting>
  <conditionalFormatting sqref="T8">
    <cfRule type="cellIs" priority="94" dxfId="339" operator="lessThan" stopIfTrue="1">
      <formula>0.99*(T9+T11+T12+T15+T16)</formula>
    </cfRule>
  </conditionalFormatting>
  <conditionalFormatting sqref="T17">
    <cfRule type="cellIs" priority="93" dxfId="339" operator="lessThan" stopIfTrue="1">
      <formula>0.99*(T18+T19+T20)</formula>
    </cfRule>
  </conditionalFormatting>
  <conditionalFormatting sqref="T21">
    <cfRule type="cellIs" priority="92" dxfId="339" operator="lessThan" stopIfTrue="1">
      <formula>0.99*(T22+T23+T24)</formula>
    </cfRule>
  </conditionalFormatting>
  <conditionalFormatting sqref="V8">
    <cfRule type="cellIs" priority="91" dxfId="339" operator="lessThan" stopIfTrue="1">
      <formula>0.99*(V9+V11+V12+V15+V16)</formula>
    </cfRule>
  </conditionalFormatting>
  <conditionalFormatting sqref="V17">
    <cfRule type="cellIs" priority="90" dxfId="339" operator="lessThan" stopIfTrue="1">
      <formula>0.99*(V18+V19+V20)</formula>
    </cfRule>
  </conditionalFormatting>
  <conditionalFormatting sqref="V21">
    <cfRule type="cellIs" priority="89" dxfId="339" operator="lessThan" stopIfTrue="1">
      <formula>0.99*(V22+V23+V24)</formula>
    </cfRule>
  </conditionalFormatting>
  <conditionalFormatting sqref="X8">
    <cfRule type="cellIs" priority="88" dxfId="339" operator="lessThan" stopIfTrue="1">
      <formula>0.99*(X9+X11+X12+X15+X16)</formula>
    </cfRule>
  </conditionalFormatting>
  <conditionalFormatting sqref="X17">
    <cfRule type="cellIs" priority="87" dxfId="339" operator="lessThan" stopIfTrue="1">
      <formula>0.99*(X18+X19+X20)</formula>
    </cfRule>
  </conditionalFormatting>
  <conditionalFormatting sqref="X21">
    <cfRule type="cellIs" priority="86" dxfId="339" operator="lessThan" stopIfTrue="1">
      <formula>0.99*(X22+X23+X24)</formula>
    </cfRule>
  </conditionalFormatting>
  <conditionalFormatting sqref="Z8">
    <cfRule type="cellIs" priority="85" dxfId="339" operator="lessThan" stopIfTrue="1">
      <formula>0.99*(Z9+Z11+Z12+Z15+Z16)</formula>
    </cfRule>
  </conditionalFormatting>
  <conditionalFormatting sqref="Z17">
    <cfRule type="cellIs" priority="84" dxfId="339" operator="lessThan" stopIfTrue="1">
      <formula>0.99*(Z18+Z19+Z20)</formula>
    </cfRule>
  </conditionalFormatting>
  <conditionalFormatting sqref="Z21">
    <cfRule type="cellIs" priority="83" dxfId="339" operator="lessThan" stopIfTrue="1">
      <formula>0.99*(Z22+Z23+Z24)</formula>
    </cfRule>
  </conditionalFormatting>
  <conditionalFormatting sqref="AB8">
    <cfRule type="cellIs" priority="82" dxfId="339" operator="lessThan" stopIfTrue="1">
      <formula>0.99*(AB9+AB11+AB12+AB15+AB16)</formula>
    </cfRule>
  </conditionalFormatting>
  <conditionalFormatting sqref="AB17">
    <cfRule type="cellIs" priority="81" dxfId="339" operator="lessThan" stopIfTrue="1">
      <formula>0.99*(AB18+AB19+AB20)</formula>
    </cfRule>
  </conditionalFormatting>
  <conditionalFormatting sqref="AB21">
    <cfRule type="cellIs" priority="80" dxfId="339" operator="lessThan" stopIfTrue="1">
      <formula>0.99*(AB22+AB23+AB24)</formula>
    </cfRule>
  </conditionalFormatting>
  <conditionalFormatting sqref="AD8">
    <cfRule type="cellIs" priority="79" dxfId="339" operator="lessThan" stopIfTrue="1">
      <formula>0.99*(AD9+AD11+AD12+AD15+AD16)</formula>
    </cfRule>
  </conditionalFormatting>
  <conditionalFormatting sqref="AD17">
    <cfRule type="cellIs" priority="78" dxfId="339" operator="lessThan" stopIfTrue="1">
      <formula>0.99*(AD18+AD19+AD20)</formula>
    </cfRule>
  </conditionalFormatting>
  <conditionalFormatting sqref="AD21">
    <cfRule type="cellIs" priority="77" dxfId="339" operator="lessThan" stopIfTrue="1">
      <formula>0.99*(AD22+AD23+AD24)</formula>
    </cfRule>
  </conditionalFormatting>
  <conditionalFormatting sqref="AF8">
    <cfRule type="cellIs" priority="76" dxfId="339" operator="lessThan" stopIfTrue="1">
      <formula>0.99*(AF9+AF11+AF12+AF15+AF16)</formula>
    </cfRule>
  </conditionalFormatting>
  <conditionalFormatting sqref="AF17">
    <cfRule type="cellIs" priority="75" dxfId="339" operator="lessThan" stopIfTrue="1">
      <formula>0.99*(AF18+AF19+AF20)</formula>
    </cfRule>
  </conditionalFormatting>
  <conditionalFormatting sqref="AF21">
    <cfRule type="cellIs" priority="74" dxfId="339" operator="lessThan" stopIfTrue="1">
      <formula>0.99*(AF22+AF23+AF24)</formula>
    </cfRule>
  </conditionalFormatting>
  <conditionalFormatting sqref="AH8">
    <cfRule type="cellIs" priority="73" dxfId="339" operator="lessThan" stopIfTrue="1">
      <formula>0.99*(AH9+AH11+AH12+AH15+AH16)</formula>
    </cfRule>
  </conditionalFormatting>
  <conditionalFormatting sqref="AH17">
    <cfRule type="cellIs" priority="72" dxfId="339" operator="lessThan" stopIfTrue="1">
      <formula>0.99*(AH18+AH19+AH20)</formula>
    </cfRule>
  </conditionalFormatting>
  <conditionalFormatting sqref="AH21">
    <cfRule type="cellIs" priority="71" dxfId="339" operator="lessThan" stopIfTrue="1">
      <formula>0.99*(AH22+AH23+AH24)</formula>
    </cfRule>
  </conditionalFormatting>
  <conditionalFormatting sqref="AJ8">
    <cfRule type="cellIs" priority="70" dxfId="339" operator="lessThan" stopIfTrue="1">
      <formula>0.99*(AJ9+AJ11+AJ12+AJ15+AJ16)</formula>
    </cfRule>
  </conditionalFormatting>
  <conditionalFormatting sqref="AJ17">
    <cfRule type="cellIs" priority="69" dxfId="339" operator="lessThan" stopIfTrue="1">
      <formula>0.99*(AJ18+AJ19+AJ20)</formula>
    </cfRule>
  </conditionalFormatting>
  <conditionalFormatting sqref="AJ21">
    <cfRule type="cellIs" priority="68" dxfId="339" operator="lessThan" stopIfTrue="1">
      <formula>0.99*(AJ22+AJ23+AJ24)</formula>
    </cfRule>
  </conditionalFormatting>
  <conditionalFormatting sqref="AL8">
    <cfRule type="cellIs" priority="67" dxfId="339" operator="lessThan" stopIfTrue="1">
      <formula>0.99*(AL9+AL11+AL12+AL15+AL16)</formula>
    </cfRule>
  </conditionalFormatting>
  <conditionalFormatting sqref="AL17">
    <cfRule type="cellIs" priority="66" dxfId="339" operator="lessThan" stopIfTrue="1">
      <formula>0.99*(AL18+AL19+AL20)</formula>
    </cfRule>
  </conditionalFormatting>
  <conditionalFormatting sqref="AL21">
    <cfRule type="cellIs" priority="65" dxfId="339" operator="lessThan" stopIfTrue="1">
      <formula>0.99*(AL22+AL23+AL24)</formula>
    </cfRule>
  </conditionalFormatting>
  <conditionalFormatting sqref="AN8">
    <cfRule type="cellIs" priority="64" dxfId="339" operator="lessThan" stopIfTrue="1">
      <formula>0.99*(AN9+AN11+AN12+AN15+AN16)</formula>
    </cfRule>
  </conditionalFormatting>
  <conditionalFormatting sqref="AN17">
    <cfRule type="cellIs" priority="63" dxfId="339" operator="lessThan" stopIfTrue="1">
      <formula>0.99*(AN18+AN19+AN20)</formula>
    </cfRule>
  </conditionalFormatting>
  <conditionalFormatting sqref="AN21">
    <cfRule type="cellIs" priority="62" dxfId="339" operator="lessThan" stopIfTrue="1">
      <formula>0.99*(AN22+AN23+AN24)</formula>
    </cfRule>
  </conditionalFormatting>
  <conditionalFormatting sqref="AP8">
    <cfRule type="cellIs" priority="61" dxfId="339" operator="lessThan" stopIfTrue="1">
      <formula>0.99*(AP9+AP11+AP12+AP15+AP16)</formula>
    </cfRule>
  </conditionalFormatting>
  <conditionalFormatting sqref="AP17">
    <cfRule type="cellIs" priority="60" dxfId="339" operator="lessThan" stopIfTrue="1">
      <formula>0.99*(AP18+AP19+AP20)</formula>
    </cfRule>
  </conditionalFormatting>
  <conditionalFormatting sqref="AR8">
    <cfRule type="cellIs" priority="58" dxfId="339" operator="lessThan" stopIfTrue="1">
      <formula>0.99*(AR9+AR11+AR12+AR15+AR16)</formula>
    </cfRule>
  </conditionalFormatting>
  <conditionalFormatting sqref="AR17">
    <cfRule type="cellIs" priority="57" dxfId="339" operator="lessThan" stopIfTrue="1">
      <formula>0.99*(AR18+AR19+AR20)</formula>
    </cfRule>
  </conditionalFormatting>
  <conditionalFormatting sqref="AT8">
    <cfRule type="cellIs" priority="55" dxfId="339" operator="lessThan" stopIfTrue="1">
      <formula>0.99*(AT9+AT11+AT12+AT15+AT16)</formula>
    </cfRule>
  </conditionalFormatting>
  <conditionalFormatting sqref="AT17">
    <cfRule type="cellIs" priority="54" dxfId="339" operator="lessThan" stopIfTrue="1">
      <formula>0.99*(AT18+AT19+AT20)</formula>
    </cfRule>
  </conditionalFormatting>
  <conditionalFormatting sqref="AV8">
    <cfRule type="cellIs" priority="37" dxfId="339" operator="lessThan" stopIfTrue="1">
      <formula>0.99*(AV9+AV11+AV12+AV15+AV16)</formula>
    </cfRule>
  </conditionalFormatting>
  <conditionalFormatting sqref="AV17">
    <cfRule type="cellIs" priority="36" dxfId="339" operator="lessThan" stopIfTrue="1">
      <formula>0.99*(AV18+AV19+AV20)</formula>
    </cfRule>
  </conditionalFormatting>
  <conditionalFormatting sqref="BC42:CW42 BC36:CW36 BC47:CW47">
    <cfRule type="cellIs" priority="9" dxfId="338" operator="equal" stopIfTrue="1">
      <formula>"&lt;&gt;"</formula>
    </cfRule>
  </conditionalFormatting>
  <conditionalFormatting sqref="BE8:BE27">
    <cfRule type="cellIs" priority="7" dxfId="338" operator="equal" stopIfTrue="1">
      <formula>"&gt; 100%"</formula>
    </cfRule>
  </conditionalFormatting>
  <conditionalFormatting sqref="CK8:CK27 CW8:CW27 BI8:BI27 BK8:BK27 BM8:BM27 BO8:BO27 BQ8:BQ27 BS8:BS27 BU8:BU27 BW8:BW27 BY8:BY27 CA8:CA27 CC8:CC27 CE8:CE27 CG8:CG27 CI8:CI27 CM8:CM27 BG8:BG27">
    <cfRule type="cellIs" priority="8" dxfId="338" operator="equal" stopIfTrue="1">
      <formula>"&gt; 25%"</formula>
    </cfRule>
  </conditionalFormatting>
  <conditionalFormatting sqref="BC33:CW33">
    <cfRule type="cellIs" priority="6" dxfId="338" operator="equal" stopIfTrue="1">
      <formula>"&lt;&gt;"</formula>
    </cfRule>
  </conditionalFormatting>
  <conditionalFormatting sqref="CK8:CK27 CM8:CM27">
    <cfRule type="cellIs" priority="5" dxfId="338" operator="equal" stopIfTrue="1">
      <formula>"&gt; 25%"</formula>
    </cfRule>
  </conditionalFormatting>
  <conditionalFormatting sqref="CO8:CO27 CQ8:CQ27 CS8:CS27">
    <cfRule type="cellIs" priority="4" dxfId="338" operator="equal" stopIfTrue="1">
      <formula>"&gt; 25%"</formula>
    </cfRule>
  </conditionalFormatting>
  <conditionalFormatting sqref="CO8:CO27 CQ8:CQ27 CS8:CS27">
    <cfRule type="cellIs" priority="3" dxfId="338" operator="equal" stopIfTrue="1">
      <formula>"&gt; 25%"</formula>
    </cfRule>
  </conditionalFormatting>
  <conditionalFormatting sqref="AP21 AR21 AT21 AV21">
    <cfRule type="cellIs" priority="2" dxfId="339" operator="lessThan" stopIfTrue="1">
      <formula>0.99*(AP22+AP23+AP24)</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B73"/>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5.5" style="136" hidden="1" customWidth="1"/>
    <col min="2" max="2" width="8.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427</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v>20</v>
      </c>
      <c r="C3" s="296" t="s">
        <v>312</v>
      </c>
      <c r="D3" s="31" t="s">
        <v>134</v>
      </c>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290</v>
      </c>
      <c r="AD3" s="298"/>
      <c r="AE3" s="297"/>
      <c r="AF3" s="298"/>
      <c r="AG3" s="299"/>
      <c r="AH3" s="298"/>
      <c r="AI3" s="359"/>
      <c r="AJ3" s="360"/>
      <c r="AK3" s="359"/>
      <c r="AL3" s="360"/>
      <c r="AM3" s="359"/>
      <c r="AN3" s="360"/>
      <c r="AO3" s="363"/>
      <c r="AP3" s="363"/>
      <c r="AQ3" s="363"/>
      <c r="AR3" s="363"/>
      <c r="AS3" s="363"/>
      <c r="AT3" s="364"/>
      <c r="AU3" s="364"/>
      <c r="AV3" s="363"/>
      <c r="AW3" s="363"/>
      <c r="AX3" s="364"/>
      <c r="AY3" s="303" t="s">
        <v>403</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6" t="s">
        <v>471</v>
      </c>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342"/>
      <c r="AP5" s="342"/>
      <c r="AQ5" s="342"/>
      <c r="AR5" s="342"/>
      <c r="AS5" s="342"/>
      <c r="AT5" s="309"/>
      <c r="AU5" s="308"/>
      <c r="AV5" s="342"/>
      <c r="AW5" s="342"/>
      <c r="AX5" s="377"/>
      <c r="AY5" s="311" t="s">
        <v>404</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458</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595</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510</v>
      </c>
      <c r="AZ7" s="181" t="s">
        <v>511</v>
      </c>
      <c r="BA7" s="181" t="s">
        <v>513</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419</v>
      </c>
      <c r="B8" s="186">
        <v>163</v>
      </c>
      <c r="C8" s="383">
        <v>1</v>
      </c>
      <c r="D8" s="472" t="s">
        <v>281</v>
      </c>
      <c r="E8" s="189" t="s">
        <v>507</v>
      </c>
      <c r="F8" s="511"/>
      <c r="G8" s="507"/>
      <c r="H8" s="511"/>
      <c r="I8" s="507"/>
      <c r="J8" s="511">
        <v>100</v>
      </c>
      <c r="K8" s="507"/>
      <c r="L8" s="511">
        <v>100</v>
      </c>
      <c r="M8" s="507"/>
      <c r="N8" s="511">
        <v>100</v>
      </c>
      <c r="O8" s="507"/>
      <c r="P8" s="511">
        <v>100</v>
      </c>
      <c r="Q8" s="507"/>
      <c r="R8" s="511">
        <v>100</v>
      </c>
      <c r="S8" s="507"/>
      <c r="T8" s="511">
        <v>100</v>
      </c>
      <c r="U8" s="507"/>
      <c r="V8" s="511">
        <v>100</v>
      </c>
      <c r="W8" s="507"/>
      <c r="X8" s="511">
        <v>100</v>
      </c>
      <c r="Y8" s="507"/>
      <c r="Z8" s="511">
        <v>100</v>
      </c>
      <c r="AA8" s="507"/>
      <c r="AB8" s="511">
        <v>100</v>
      </c>
      <c r="AC8" s="507"/>
      <c r="AD8" s="511">
        <v>100</v>
      </c>
      <c r="AE8" s="507"/>
      <c r="AF8" s="511">
        <v>100</v>
      </c>
      <c r="AG8" s="507"/>
      <c r="AH8" s="511">
        <v>100</v>
      </c>
      <c r="AI8" s="507"/>
      <c r="AJ8" s="511">
        <v>100</v>
      </c>
      <c r="AK8" s="507"/>
      <c r="AL8" s="511">
        <v>100</v>
      </c>
      <c r="AM8" s="507"/>
      <c r="AN8" s="511">
        <v>100</v>
      </c>
      <c r="AO8" s="507"/>
      <c r="AP8" s="511">
        <v>100</v>
      </c>
      <c r="AQ8" s="507"/>
      <c r="AR8" s="511">
        <v>100</v>
      </c>
      <c r="AS8" s="507"/>
      <c r="AT8" s="511">
        <v>100</v>
      </c>
      <c r="AU8" s="507"/>
      <c r="AV8" s="511">
        <v>100</v>
      </c>
      <c r="AW8" s="507"/>
      <c r="AY8" s="337">
        <v>1</v>
      </c>
      <c r="AZ8" s="473" t="s">
        <v>376</v>
      </c>
      <c r="BA8" s="66" t="s">
        <v>507</v>
      </c>
      <c r="BB8" s="66" t="s">
        <v>428</v>
      </c>
      <c r="BC8" s="195"/>
      <c r="BD8" s="54" t="str">
        <f>IF(OR(ISBLANK(F8),ISBLANK(H8)),"N/A",IF(ABS(H8-F8)&gt;100,"&gt; 100%","ok"))</f>
        <v>N/A</v>
      </c>
      <c r="BE8" s="195"/>
      <c r="BF8" s="54" t="str">
        <f>IF(OR(ISBLANK(H8),ISBLANK(J8)),"N/A",IF(ABS(J8-H8)&gt;1,"&gt;100%","ok"))</f>
        <v>N/A</v>
      </c>
      <c r="BG8" s="54"/>
      <c r="BH8" s="54" t="str">
        <f>IF(OR(ISBLANK(J8),ISBLANK(L8)),"N/A",IF(ABS(L8-J8)&gt;25,"&gt; 25%","ok"))</f>
        <v>ok</v>
      </c>
      <c r="BI8" s="54"/>
      <c r="BJ8" s="54" t="str">
        <f>IF(OR(ISBLANK(L8),ISBLANK(N8)),"N/A",IF(ABS(N8-L8)&gt;25,"&gt; 25%","ok"))</f>
        <v>ok</v>
      </c>
      <c r="BK8" s="54"/>
      <c r="BL8" s="54" t="str">
        <f>IF(OR(ISBLANK(N8),ISBLANK(P8)),"N/A",IF(ABS(P8-N8)&gt;25,"&gt; 25%","ok"))</f>
        <v>ok</v>
      </c>
      <c r="BM8" s="54"/>
      <c r="BN8" s="54" t="str">
        <f>IF(OR(ISBLANK(P8),ISBLANK(R8)),"N/A",IF(ABS(R8-P8)&gt;25,"&gt; 25%","ok"))</f>
        <v>ok</v>
      </c>
      <c r="BO8" s="54"/>
      <c r="BP8" s="54" t="str">
        <f>IF(OR(ISBLANK(R8),ISBLANK(T8)),"N/A",IF(ABS(T8-R8)&gt;25,"&gt; 25%","ok"))</f>
        <v>ok</v>
      </c>
      <c r="BQ8" s="54"/>
      <c r="BR8" s="54" t="str">
        <f>IF(OR(ISBLANK(T8),ISBLANK(V8)),"N/A",IF(ABS(V8-T8)&gt;25,"&gt; 25%","ok"))</f>
        <v>ok</v>
      </c>
      <c r="BS8" s="54"/>
      <c r="BT8" s="54" t="str">
        <f>IF(OR(ISBLANK(V8),ISBLANK(X8)),"N/A",IF(ABS(X8-V8)&gt;25,"&gt; 25%","ok"))</f>
        <v>ok</v>
      </c>
      <c r="BU8" s="54"/>
      <c r="BV8" s="54" t="str">
        <f>IF(OR(ISBLANK(X8),ISBLANK(Z8)),"N/A",IF(ABS(Z8-X8)&gt;25,"&gt; 25%","ok"))</f>
        <v>ok</v>
      </c>
      <c r="BW8" s="54"/>
      <c r="BX8" s="54" t="str">
        <f>IF(OR(ISBLANK(Z8),ISBLANK(AB8)),"N/A",IF(ABS(AB8-Z8)&gt;25,"&gt; 25%","ok"))</f>
        <v>ok</v>
      </c>
      <c r="BY8" s="54"/>
      <c r="BZ8" s="54" t="str">
        <f>IF(OR(ISBLANK(AB8),ISBLANK(AD8)),"N/A",IF(ABS(AD8-AB8)&gt;25,"&gt; 25%","ok"))</f>
        <v>ok</v>
      </c>
      <c r="CA8" s="54"/>
      <c r="CB8" s="54" t="str">
        <f>IF(OR(ISBLANK(AD8),ISBLANK(AF8)),"N/A",IF(ABS(AF8-AD8)&gt;25,"&gt; 25%","ok"))</f>
        <v>ok</v>
      </c>
      <c r="CC8" s="54"/>
      <c r="CD8" s="54" t="str">
        <f>IF(OR(ISBLANK(AF8),ISBLANK(AH8)),"N/A",IF(ABS(AH8-AF8)&gt;25,"&gt; 25%","ok"))</f>
        <v>ok</v>
      </c>
      <c r="CE8" s="54"/>
      <c r="CF8" s="54" t="str">
        <f>IF(OR(ISBLANK(AH8),ISBLANK(AJ8)),"N/A",IF(ABS(AJ8-AH8)&gt;25,"&gt; 25%","ok"))</f>
        <v>ok</v>
      </c>
      <c r="CG8" s="54"/>
      <c r="CH8" s="54" t="str">
        <f>IF(OR(ISBLANK(AJ8),ISBLANK(AL8)),"N/A",IF(ABS(AL8-AJ8)&gt;25,"&gt; 25%","ok"))</f>
        <v>ok</v>
      </c>
      <c r="CI8" s="54"/>
      <c r="CJ8" s="54" t="str">
        <f>IF(OR(ISBLANK(AL8),ISBLANK(AN8)),"N/A",IF(ABS(AN8-AL8)&gt;25,"&gt; 25%","ok"))</f>
        <v>ok</v>
      </c>
      <c r="CK8" s="54"/>
      <c r="CL8" s="54" t="str">
        <f>IF(OR(ISBLANK(AN8),ISBLANK(AP8)),"N/A",IF(ABS(AP8-AN8)&gt;25,"&gt; 25%","ok"))</f>
        <v>ok</v>
      </c>
      <c r="CM8" s="54"/>
      <c r="CN8" s="54" t="str">
        <f>IF(OR(ISBLANK(AP8),ISBLANK(AR8)),"N/A",IF(ABS(AR8-AP8)&gt;25,"&gt; 25%","ok"))</f>
        <v>ok</v>
      </c>
      <c r="CO8" s="54"/>
      <c r="CP8" s="54" t="str">
        <f>IF(OR(ISBLANK(AR8),ISBLANK(AT8)),"N/A",IF(ABS(AT8-AR8)&gt;25,"&gt; 25%","ok"))</f>
        <v>ok</v>
      </c>
      <c r="CQ8" s="54"/>
      <c r="CR8" s="54" t="str">
        <f>IF(OR(ISBLANK(AT8),ISBLANK(AV8)),"N/A",IF(ABS(AV8-AT8)&gt;25,"&gt; 25%","ok"))</f>
        <v>ok</v>
      </c>
      <c r="CS8" s="54"/>
      <c r="CT8" s="54"/>
      <c r="CU8" s="54"/>
      <c r="CV8" s="54"/>
    </row>
    <row r="9" spans="1:100" ht="36" customHeight="1">
      <c r="A9" s="136" t="s">
        <v>419</v>
      </c>
      <c r="B9" s="186">
        <v>164</v>
      </c>
      <c r="C9" s="328">
        <v>2</v>
      </c>
      <c r="D9" s="474" t="s">
        <v>226</v>
      </c>
      <c r="E9" s="189" t="s">
        <v>507</v>
      </c>
      <c r="F9" s="511"/>
      <c r="G9" s="507"/>
      <c r="H9" s="511"/>
      <c r="I9" s="507"/>
      <c r="J9" s="511">
        <v>3.619999885559082</v>
      </c>
      <c r="K9" s="507"/>
      <c r="L9" s="511">
        <v>3.5</v>
      </c>
      <c r="M9" s="507"/>
      <c r="N9" s="511">
        <v>17.079999923706055</v>
      </c>
      <c r="O9" s="507"/>
      <c r="P9" s="511">
        <v>19.600000381469727</v>
      </c>
      <c r="Q9" s="507"/>
      <c r="R9" s="511">
        <v>31.100000381469727</v>
      </c>
      <c r="S9" s="507"/>
      <c r="T9" s="511">
        <v>47.70000076293945</v>
      </c>
      <c r="U9" s="507" t="s">
        <v>704</v>
      </c>
      <c r="V9" s="511">
        <v>86.4000015258789</v>
      </c>
      <c r="W9" s="507" t="s">
        <v>705</v>
      </c>
      <c r="X9" s="511">
        <v>98</v>
      </c>
      <c r="Y9" s="507"/>
      <c r="Z9" s="511">
        <v>98</v>
      </c>
      <c r="AA9" s="507"/>
      <c r="AB9" s="511">
        <v>98</v>
      </c>
      <c r="AC9" s="507"/>
      <c r="AD9" s="511">
        <v>98</v>
      </c>
      <c r="AE9" s="507"/>
      <c r="AF9" s="511">
        <v>100</v>
      </c>
      <c r="AG9" s="507"/>
      <c r="AH9" s="511">
        <v>100</v>
      </c>
      <c r="AI9" s="507"/>
      <c r="AJ9" s="511">
        <v>100</v>
      </c>
      <c r="AK9" s="507"/>
      <c r="AL9" s="511">
        <v>100</v>
      </c>
      <c r="AM9" s="507"/>
      <c r="AN9" s="511">
        <v>100</v>
      </c>
      <c r="AO9" s="507"/>
      <c r="AP9" s="511">
        <v>100</v>
      </c>
      <c r="AQ9" s="507"/>
      <c r="AR9" s="511">
        <v>100</v>
      </c>
      <c r="AS9" s="507"/>
      <c r="AT9" s="511">
        <v>100</v>
      </c>
      <c r="AU9" s="507"/>
      <c r="AV9" s="511">
        <v>100</v>
      </c>
      <c r="AW9" s="507"/>
      <c r="AY9" s="323">
        <v>2</v>
      </c>
      <c r="AZ9" s="475" t="s">
        <v>377</v>
      </c>
      <c r="BA9" s="66" t="s">
        <v>507</v>
      </c>
      <c r="BB9" s="66" t="s">
        <v>428</v>
      </c>
      <c r="BC9" s="195"/>
      <c r="BD9" s="54" t="str">
        <f>IF(OR(ISBLANK(F9),ISBLANK(H9)),"N/A",IF(ABS(H9-F9)&gt;100,"&gt; 100%","ok"))</f>
        <v>N/A</v>
      </c>
      <c r="BE9" s="195"/>
      <c r="BF9" s="54" t="str">
        <f>IF(OR(ISBLANK(H9),ISBLANK(J9)),"N/A",IF(ABS(J9-H9)&gt;1,"&gt;100%","ok"))</f>
        <v>N/A</v>
      </c>
      <c r="BG9" s="54"/>
      <c r="BH9" s="54" t="str">
        <f>IF(OR(ISBLANK(J9),ISBLANK(L9)),"N/A",IF(ABS(L9-J9)&gt;25,"&gt; 25%","ok"))</f>
        <v>ok</v>
      </c>
      <c r="BI9" s="54"/>
      <c r="BJ9" s="54" t="str">
        <f>IF(OR(ISBLANK(L9),ISBLANK(N9)),"N/A",IF(ABS(N9-L9)&gt;25,"&gt; 25%","ok"))</f>
        <v>ok</v>
      </c>
      <c r="BK9" s="54"/>
      <c r="BL9" s="54" t="str">
        <f>IF(OR(ISBLANK(N9),ISBLANK(P9)),"N/A",IF(ABS(P9-N9)&gt;25,"&gt; 25%","ok"))</f>
        <v>ok</v>
      </c>
      <c r="BM9" s="54"/>
      <c r="BN9" s="54" t="str">
        <f>IF(OR(ISBLANK(P9),ISBLANK(R9)),"N/A",IF(ABS(R9-P9)&gt;25,"&gt; 25%","ok"))</f>
        <v>ok</v>
      </c>
      <c r="BO9" s="54"/>
      <c r="BP9" s="54" t="str">
        <f>IF(OR(ISBLANK(R9),ISBLANK(T9)),"N/A",IF(ABS(T9-R9)&gt;25,"&gt; 25%","ok"))</f>
        <v>ok</v>
      </c>
      <c r="BQ9" s="54"/>
      <c r="BR9" s="54" t="str">
        <f>IF(OR(ISBLANK(T9),ISBLANK(V9)),"N/A",IF(ABS(V9-T9)&gt;25,"&gt; 25%","ok"))</f>
        <v>&gt; 25%</v>
      </c>
      <c r="BS9" s="54"/>
      <c r="BT9" s="54" t="str">
        <f>IF(OR(ISBLANK(V9),ISBLANK(X9)),"N/A",IF(ABS(X9-V9)&gt;25,"&gt; 25%","ok"))</f>
        <v>ok</v>
      </c>
      <c r="BU9" s="54"/>
      <c r="BV9" s="54" t="str">
        <f>IF(OR(ISBLANK(X9),ISBLANK(Z9)),"N/A",IF(ABS(Z9-X9)&gt;25,"&gt; 25%","ok"))</f>
        <v>ok</v>
      </c>
      <c r="BW9" s="54"/>
      <c r="BX9" s="54" t="str">
        <f>IF(OR(ISBLANK(Z9),ISBLANK(AB9)),"N/A",IF(ABS(AB9-Z9)&gt;25,"&gt; 25%","ok"))</f>
        <v>ok</v>
      </c>
      <c r="BY9" s="54"/>
      <c r="BZ9" s="54" t="str">
        <f>IF(OR(ISBLANK(AB9),ISBLANK(AD9)),"N/A",IF(ABS(AD9-AB9)&gt;25,"&gt; 25%","ok"))</f>
        <v>ok</v>
      </c>
      <c r="CA9" s="54"/>
      <c r="CB9" s="54" t="str">
        <f>IF(OR(ISBLANK(AD9),ISBLANK(AF9)),"N/A",IF(ABS(AF9-AD9)&gt;25,"&gt; 25%","ok"))</f>
        <v>ok</v>
      </c>
      <c r="CC9" s="54"/>
      <c r="CD9" s="54" t="str">
        <f>IF(OR(ISBLANK(AF9),ISBLANK(AH9)),"N/A",IF(ABS(AH9-AF9)&gt;25,"&gt; 25%","ok"))</f>
        <v>ok</v>
      </c>
      <c r="CE9" s="54"/>
      <c r="CF9" s="54" t="str">
        <f>IF(OR(ISBLANK(AH9),ISBLANK(AJ9)),"N/A",IF(ABS(AJ9-AH9)&gt;25,"&gt; 25%","ok"))</f>
        <v>ok</v>
      </c>
      <c r="CG9" s="54"/>
      <c r="CH9" s="54" t="str">
        <f>IF(OR(ISBLANK(AJ9),ISBLANK(AL9)),"N/A",IF(ABS(AL9-AJ9)&gt;25,"&gt; 25%","ok"))</f>
        <v>ok</v>
      </c>
      <c r="CI9" s="54"/>
      <c r="CJ9" s="54" t="str">
        <f>IF(OR(ISBLANK(AL9),ISBLANK(AN9)),"N/A",IF(ABS(AN9-AL9)&gt;25,"&gt; 25%","ok"))</f>
        <v>ok</v>
      </c>
      <c r="CK9" s="54"/>
      <c r="CL9" s="54" t="str">
        <f>IF(OR(ISBLANK(AN9),ISBLANK(AP9)),"N/A",IF(ABS(AP9-AN9)&gt;25,"&gt; 25%","ok"))</f>
        <v>ok</v>
      </c>
      <c r="CM9" s="54"/>
      <c r="CN9" s="54" t="str">
        <f>IF(OR(ISBLANK(AP9),ISBLANK(AR9)),"N/A",IF(ABS(AR9-AP9)&gt;25,"&gt; 25%","ok"))</f>
        <v>ok</v>
      </c>
      <c r="CO9" s="54"/>
      <c r="CP9" s="54" t="str">
        <f>IF(OR(ISBLANK(AR9),ISBLANK(AT9)),"N/A",IF(ABS(AT9-AR9)&gt;25,"&gt; 25%","ok"))</f>
        <v>ok</v>
      </c>
      <c r="CQ9" s="54"/>
      <c r="CR9" s="54" t="str">
        <f>IF(OR(ISBLANK(AT9),ISBLANK(AV9)),"N/A",IF(ABS(AV9-AT9)&gt;25,"&gt; 25%","ok"))</f>
        <v>ok</v>
      </c>
      <c r="CS9" s="54"/>
      <c r="CT9" s="54"/>
      <c r="CU9" s="54"/>
      <c r="CV9" s="54"/>
    </row>
    <row r="10" spans="2:100" ht="36" customHeight="1">
      <c r="B10" s="186">
        <v>296</v>
      </c>
      <c r="C10" s="189">
        <v>3</v>
      </c>
      <c r="D10" s="476" t="s">
        <v>311</v>
      </c>
      <c r="E10" s="189" t="s">
        <v>507</v>
      </c>
      <c r="F10" s="512"/>
      <c r="G10" s="504"/>
      <c r="H10" s="512"/>
      <c r="I10" s="504"/>
      <c r="J10" s="512">
        <v>3.619999885559082</v>
      </c>
      <c r="K10" s="504"/>
      <c r="L10" s="512">
        <v>3.5</v>
      </c>
      <c r="M10" s="504"/>
      <c r="N10" s="512">
        <v>17.079999923706055</v>
      </c>
      <c r="O10" s="504"/>
      <c r="P10" s="512">
        <v>19.600000381469727</v>
      </c>
      <c r="Q10" s="504"/>
      <c r="R10" s="512">
        <v>31.100000381469727</v>
      </c>
      <c r="S10" s="504"/>
      <c r="T10" s="512">
        <v>47.70000076293945</v>
      </c>
      <c r="U10" s="504" t="s">
        <v>704</v>
      </c>
      <c r="V10" s="512">
        <v>86.4000015258789</v>
      </c>
      <c r="W10" s="504" t="s">
        <v>705</v>
      </c>
      <c r="X10" s="512">
        <v>98</v>
      </c>
      <c r="Y10" s="504"/>
      <c r="Z10" s="512">
        <v>98</v>
      </c>
      <c r="AA10" s="504"/>
      <c r="AB10" s="512">
        <v>98</v>
      </c>
      <c r="AC10" s="504"/>
      <c r="AD10" s="512">
        <v>98</v>
      </c>
      <c r="AE10" s="504"/>
      <c r="AF10" s="512">
        <v>100</v>
      </c>
      <c r="AG10" s="504"/>
      <c r="AH10" s="512">
        <v>100</v>
      </c>
      <c r="AI10" s="504"/>
      <c r="AJ10" s="512">
        <v>100</v>
      </c>
      <c r="AK10" s="504"/>
      <c r="AL10" s="512">
        <v>100</v>
      </c>
      <c r="AM10" s="504"/>
      <c r="AN10" s="512">
        <v>100</v>
      </c>
      <c r="AO10" s="504"/>
      <c r="AP10" s="512">
        <v>100</v>
      </c>
      <c r="AQ10" s="504"/>
      <c r="AR10" s="512">
        <v>100</v>
      </c>
      <c r="AS10" s="504"/>
      <c r="AT10" s="512">
        <v>100</v>
      </c>
      <c r="AU10" s="504"/>
      <c r="AV10" s="512">
        <v>100</v>
      </c>
      <c r="AW10" s="504"/>
      <c r="AY10" s="66">
        <v>3</v>
      </c>
      <c r="AZ10" s="477" t="s">
        <v>641</v>
      </c>
      <c r="BA10" s="66" t="s">
        <v>507</v>
      </c>
      <c r="BB10" s="56" t="s">
        <v>428</v>
      </c>
      <c r="BC10" s="200"/>
      <c r="BD10" s="54" t="str">
        <f>IF(OR(ISBLANK(F10),ISBLANK(H10)),"N/A",IF(ABS(H10-F10)&gt;100,"&gt; 100%","ok"))</f>
        <v>N/A</v>
      </c>
      <c r="BE10" s="200"/>
      <c r="BF10" s="54" t="str">
        <f>IF(OR(ISBLANK(H10),ISBLANK(J10)),"N/A",IF(ABS(J10-H10)&gt;1,"&gt;100%","ok"))</f>
        <v>N/A</v>
      </c>
      <c r="BG10" s="54"/>
      <c r="BH10" s="54" t="str">
        <f>IF(OR(ISBLANK(J10),ISBLANK(L10)),"N/A",IF(ABS(L10-J10)&gt;25,"&gt; 25%","ok"))</f>
        <v>ok</v>
      </c>
      <c r="BI10" s="54"/>
      <c r="BJ10" s="54" t="str">
        <f>IF(OR(ISBLANK(L10),ISBLANK(N10)),"N/A",IF(ABS(N10-L10)&gt;25,"&gt; 25%","ok"))</f>
        <v>ok</v>
      </c>
      <c r="BK10" s="54"/>
      <c r="BL10" s="54" t="str">
        <f>IF(OR(ISBLANK(N10),ISBLANK(P10)),"N/A",IF(ABS(P10-N10)&gt;25,"&gt; 25%","ok"))</f>
        <v>ok</v>
      </c>
      <c r="BM10" s="54"/>
      <c r="BN10" s="54" t="str">
        <f>IF(OR(ISBLANK(P10),ISBLANK(R10)),"N/A",IF(ABS(R10-P10)&gt;25,"&gt; 25%","ok"))</f>
        <v>ok</v>
      </c>
      <c r="BO10" s="54"/>
      <c r="BP10" s="54" t="str">
        <f>IF(OR(ISBLANK(R10),ISBLANK(T10)),"N/A",IF(ABS(T10-R10)&gt;25,"&gt; 25%","ok"))</f>
        <v>ok</v>
      </c>
      <c r="BQ10" s="54"/>
      <c r="BR10" s="54" t="str">
        <f>IF(OR(ISBLANK(T10),ISBLANK(V10)),"N/A",IF(ABS(V10-T10)&gt;25,"&gt; 25%","ok"))</f>
        <v>&gt; 25%</v>
      </c>
      <c r="BS10" s="54"/>
      <c r="BT10" s="54" t="str">
        <f>IF(OR(ISBLANK(V10),ISBLANK(X10)),"N/A",IF(ABS(X10-V10)&gt;25,"&gt; 25%","ok"))</f>
        <v>ok</v>
      </c>
      <c r="BU10" s="54"/>
      <c r="BV10" s="54" t="str">
        <f>IF(OR(ISBLANK(X10),ISBLANK(Z10)),"N/A",IF(ABS(Z10-X10)&gt;25,"&gt; 25%","ok"))</f>
        <v>ok</v>
      </c>
      <c r="BW10" s="54"/>
      <c r="BX10" s="54" t="str">
        <f>IF(OR(ISBLANK(Z10),ISBLANK(AB10)),"N/A",IF(ABS(AB10-Z10)&gt;25,"&gt; 25%","ok"))</f>
        <v>ok</v>
      </c>
      <c r="BY10" s="54"/>
      <c r="BZ10" s="54" t="str">
        <f>IF(OR(ISBLANK(AB10),ISBLANK(AD10)),"N/A",IF(ABS(AD10-AB10)&gt;25,"&gt; 25%","ok"))</f>
        <v>ok</v>
      </c>
      <c r="CA10" s="54"/>
      <c r="CB10" s="54" t="str">
        <f>IF(OR(ISBLANK(AD10),ISBLANK(AF10)),"N/A",IF(ABS(AF10-AD10)&gt;25,"&gt; 25%","ok"))</f>
        <v>ok</v>
      </c>
      <c r="CC10" s="54"/>
      <c r="CD10" s="54" t="str">
        <f>IF(OR(ISBLANK(AF10),ISBLANK(AH10)),"N/A",IF(ABS(AH10-AF10)&gt;25,"&gt; 25%","ok"))</f>
        <v>ok</v>
      </c>
      <c r="CE10" s="54"/>
      <c r="CF10" s="54" t="str">
        <f>IF(OR(ISBLANK(AH10),ISBLANK(AJ10)),"N/A",IF(ABS(AJ10-AH10)&gt;25,"&gt; 25%","ok"))</f>
        <v>ok</v>
      </c>
      <c r="CG10" s="54"/>
      <c r="CH10" s="54" t="str">
        <f>IF(OR(ISBLANK(AJ10),ISBLANK(AL10)),"N/A",IF(ABS(AL10-AJ10)&gt;25,"&gt; 25%","ok"))</f>
        <v>ok</v>
      </c>
      <c r="CI10" s="54"/>
      <c r="CJ10" s="54" t="str">
        <f>IF(OR(ISBLANK(AL10),ISBLANK(AN10)),"N/A",IF(ABS(AN10-AL10)&gt;25,"&gt; 25%","ok"))</f>
        <v>ok</v>
      </c>
      <c r="CK10" s="54"/>
      <c r="CL10" s="54" t="str">
        <f>IF(OR(ISBLANK(AN10),ISBLANK(AP10)),"N/A",IF(ABS(AP10-AN10)&gt;25,"&gt; 25%","ok"))</f>
        <v>ok</v>
      </c>
      <c r="CM10" s="54"/>
      <c r="CN10" s="54" t="str">
        <f>IF(OR(ISBLANK(AP10),ISBLANK(AR10)),"N/A",IF(ABS(AR10-AP10)&gt;25,"&gt; 25%","ok"))</f>
        <v>ok</v>
      </c>
      <c r="CO10" s="54"/>
      <c r="CP10" s="54" t="str">
        <f>IF(OR(ISBLANK(AR10),ISBLANK(AT10)),"N/A",IF(ABS(AT10-AR10)&gt;25,"&gt; 25%","ok"))</f>
        <v>ok</v>
      </c>
      <c r="CQ10" s="54"/>
      <c r="CR10" s="54" t="str">
        <f>IF(OR(ISBLANK(AT10),ISBLANK(AV10)),"N/A",IF(ABS(AV10-AT10)&gt;25,"&gt; 25%","ok"))</f>
        <v>ok</v>
      </c>
      <c r="CS10" s="54"/>
      <c r="CT10" s="54"/>
      <c r="CU10" s="54"/>
      <c r="CV10" s="54"/>
    </row>
    <row r="11" spans="2:100" ht="45" customHeight="1">
      <c r="B11" s="186">
        <v>165</v>
      </c>
      <c r="C11" s="207">
        <v>4</v>
      </c>
      <c r="D11" s="216" t="s">
        <v>282</v>
      </c>
      <c r="E11" s="189" t="s">
        <v>507</v>
      </c>
      <c r="F11" s="512"/>
      <c r="G11" s="504"/>
      <c r="H11" s="512"/>
      <c r="I11" s="504"/>
      <c r="J11" s="512">
        <v>0</v>
      </c>
      <c r="K11" s="504" t="s">
        <v>706</v>
      </c>
      <c r="L11" s="512">
        <v>0</v>
      </c>
      <c r="M11" s="504" t="s">
        <v>706</v>
      </c>
      <c r="N11" s="512">
        <v>0</v>
      </c>
      <c r="O11" s="504" t="s">
        <v>706</v>
      </c>
      <c r="P11" s="512">
        <v>0</v>
      </c>
      <c r="Q11" s="504" t="s">
        <v>706</v>
      </c>
      <c r="R11" s="512">
        <v>0</v>
      </c>
      <c r="S11" s="504" t="s">
        <v>706</v>
      </c>
      <c r="T11" s="512">
        <v>0</v>
      </c>
      <c r="U11" s="504" t="s">
        <v>706</v>
      </c>
      <c r="V11" s="512">
        <v>0</v>
      </c>
      <c r="W11" s="504" t="s">
        <v>706</v>
      </c>
      <c r="X11" s="512">
        <v>0</v>
      </c>
      <c r="Y11" s="504" t="s">
        <v>706</v>
      </c>
      <c r="Z11" s="512">
        <v>0</v>
      </c>
      <c r="AA11" s="504" t="s">
        <v>706</v>
      </c>
      <c r="AB11" s="512">
        <v>0</v>
      </c>
      <c r="AC11" s="504" t="s">
        <v>706</v>
      </c>
      <c r="AD11" s="512">
        <v>0</v>
      </c>
      <c r="AE11" s="504" t="s">
        <v>706</v>
      </c>
      <c r="AF11" s="512">
        <v>0</v>
      </c>
      <c r="AG11" s="504" t="s">
        <v>706</v>
      </c>
      <c r="AH11" s="512">
        <v>0</v>
      </c>
      <c r="AI11" s="504" t="s">
        <v>706</v>
      </c>
      <c r="AJ11" s="512">
        <v>0</v>
      </c>
      <c r="AK11" s="504" t="s">
        <v>706</v>
      </c>
      <c r="AL11" s="512">
        <v>0</v>
      </c>
      <c r="AM11" s="504" t="s">
        <v>706</v>
      </c>
      <c r="AN11" s="512">
        <v>0</v>
      </c>
      <c r="AO11" s="504" t="s">
        <v>706</v>
      </c>
      <c r="AP11" s="512">
        <v>0</v>
      </c>
      <c r="AQ11" s="504" t="s">
        <v>706</v>
      </c>
      <c r="AR11" s="512">
        <v>0</v>
      </c>
      <c r="AS11" s="504" t="s">
        <v>706</v>
      </c>
      <c r="AT11" s="512">
        <v>0</v>
      </c>
      <c r="AU11" s="504" t="s">
        <v>706</v>
      </c>
      <c r="AV11" s="512">
        <v>0</v>
      </c>
      <c r="AW11" s="504" t="s">
        <v>706</v>
      </c>
      <c r="AY11" s="56">
        <v>4</v>
      </c>
      <c r="AZ11" s="217" t="s">
        <v>373</v>
      </c>
      <c r="BA11" s="66" t="s">
        <v>507</v>
      </c>
      <c r="BB11" s="56" t="s">
        <v>428</v>
      </c>
      <c r="BC11" s="200"/>
      <c r="BD11" s="54" t="str">
        <f>IF(OR(ISBLANK(F11),ISBLANK(H11)),"N/A",IF(ABS(H11-F11)&gt;100,"&gt; 100%","ok"))</f>
        <v>N/A</v>
      </c>
      <c r="BE11" s="200"/>
      <c r="BF11" s="54" t="str">
        <f>IF(OR(ISBLANK(H11),ISBLANK(J11)),"N/A",IF(ABS(J11-H11)&gt;1,"&gt;100%","ok"))</f>
        <v>N/A</v>
      </c>
      <c r="BG11" s="54"/>
      <c r="BH11" s="54" t="str">
        <f>IF(OR(ISBLANK(J11),ISBLANK(L11)),"N/A",IF(ABS(L11-J11)&gt;25,"&gt; 25%","ok"))</f>
        <v>ok</v>
      </c>
      <c r="BI11" s="54"/>
      <c r="BJ11" s="54" t="str">
        <f>IF(OR(ISBLANK(L11),ISBLANK(N11)),"N/A",IF(ABS(N11-L11)&gt;25,"&gt; 25%","ok"))</f>
        <v>ok</v>
      </c>
      <c r="BK11" s="54"/>
      <c r="BL11" s="54" t="str">
        <f>IF(OR(ISBLANK(N11),ISBLANK(P11)),"N/A",IF(ABS(P11-N11)&gt;25,"&gt; 25%","ok"))</f>
        <v>ok</v>
      </c>
      <c r="BM11" s="54"/>
      <c r="BN11" s="54" t="str">
        <f>IF(OR(ISBLANK(P11),ISBLANK(R11)),"N/A",IF(ABS(R11-P11)&gt;25,"&gt; 25%","ok"))</f>
        <v>ok</v>
      </c>
      <c r="BO11" s="54"/>
      <c r="BP11" s="54" t="str">
        <f>IF(OR(ISBLANK(R11),ISBLANK(T11)),"N/A",IF(ABS(T11-R11)&gt;25,"&gt; 25%","ok"))</f>
        <v>ok</v>
      </c>
      <c r="BQ11" s="54"/>
      <c r="BR11" s="54" t="str">
        <f>IF(OR(ISBLANK(T11),ISBLANK(V11)),"N/A",IF(ABS(V11-T11)&gt;25,"&gt; 25%","ok"))</f>
        <v>ok</v>
      </c>
      <c r="BS11" s="54"/>
      <c r="BT11" s="54" t="str">
        <f>IF(OR(ISBLANK(V11),ISBLANK(X11)),"N/A",IF(ABS(X11-V11)&gt;25,"&gt; 25%","ok"))</f>
        <v>ok</v>
      </c>
      <c r="BU11" s="54"/>
      <c r="BV11" s="54" t="str">
        <f>IF(OR(ISBLANK(X11),ISBLANK(Z11)),"N/A",IF(ABS(Z11-X11)&gt;25,"&gt; 25%","ok"))</f>
        <v>ok</v>
      </c>
      <c r="BW11" s="54"/>
      <c r="BX11" s="54" t="str">
        <f>IF(OR(ISBLANK(Z11),ISBLANK(AB11)),"N/A",IF(ABS(AB11-Z11)&gt;25,"&gt; 25%","ok"))</f>
        <v>ok</v>
      </c>
      <c r="BY11" s="54"/>
      <c r="BZ11" s="54" t="str">
        <f>IF(OR(ISBLANK(AB11),ISBLANK(AD11)),"N/A",IF(ABS(AD11-AB11)&gt;25,"&gt; 25%","ok"))</f>
        <v>ok</v>
      </c>
      <c r="CA11" s="54"/>
      <c r="CB11" s="54" t="str">
        <f>IF(OR(ISBLANK(AD11),ISBLANK(AF11)),"N/A",IF(ABS(AF11-AD11)&gt;25,"&gt; 25%","ok"))</f>
        <v>ok</v>
      </c>
      <c r="CC11" s="54"/>
      <c r="CD11" s="54" t="str">
        <f>IF(OR(ISBLANK(AF11),ISBLANK(AH11)),"N/A",IF(ABS(AH11-AF11)&gt;25,"&gt; 25%","ok"))</f>
        <v>ok</v>
      </c>
      <c r="CE11" s="54"/>
      <c r="CF11" s="54" t="str">
        <f>IF(OR(ISBLANK(AH11),ISBLANK(AJ11)),"N/A",IF(ABS(AJ11-AH11)&gt;25,"&gt; 25%","ok"))</f>
        <v>ok</v>
      </c>
      <c r="CG11" s="54"/>
      <c r="CH11" s="54" t="str">
        <f>IF(OR(ISBLANK(AJ11),ISBLANK(AL11)),"N/A",IF(ABS(AL11-AJ11)&gt;25,"&gt; 25%","ok"))</f>
        <v>ok</v>
      </c>
      <c r="CI11" s="54"/>
      <c r="CJ11" s="54" t="str">
        <f>IF(OR(ISBLANK(AL11),ISBLANK(AN11)),"N/A",IF(ABS(AN11-AL11)&gt;25,"&gt; 25%","ok"))</f>
        <v>ok</v>
      </c>
      <c r="CK11" s="54"/>
      <c r="CL11" s="54" t="str">
        <f>IF(OR(ISBLANK(AN11),ISBLANK(AP11)),"N/A",IF(ABS(AP11-AN11)&gt;25,"&gt; 25%","ok"))</f>
        <v>ok</v>
      </c>
      <c r="CM11" s="54"/>
      <c r="CN11" s="54" t="str">
        <f>IF(OR(ISBLANK(AP11),ISBLANK(AR11)),"N/A",IF(ABS(AR11-AP11)&gt;25,"&gt; 25%","ok"))</f>
        <v>ok</v>
      </c>
      <c r="CO11" s="54"/>
      <c r="CP11" s="54" t="str">
        <f>IF(OR(ISBLANK(AR11),ISBLANK(AT11)),"N/A",IF(ABS(AT11-AR11)&gt;25,"&gt; 25%","ok"))</f>
        <v>ok</v>
      </c>
      <c r="CQ11" s="54"/>
      <c r="CR11" s="54" t="str">
        <f>IF(OR(ISBLANK(AT11),ISBLANK(AV11)),"N/A",IF(ABS(AV11-AT11)&gt;25,"&gt; 25%","ok"))</f>
        <v>ok</v>
      </c>
      <c r="CS11" s="54"/>
      <c r="CT11" s="54"/>
      <c r="CU11" s="54"/>
      <c r="CV11" s="54"/>
    </row>
    <row r="12" spans="2:100" ht="45" customHeight="1">
      <c r="B12" s="186">
        <v>298</v>
      </c>
      <c r="C12" s="333">
        <v>5</v>
      </c>
      <c r="D12" s="220" t="s">
        <v>318</v>
      </c>
      <c r="E12" s="333" t="s">
        <v>507</v>
      </c>
      <c r="F12" s="513"/>
      <c r="G12" s="510"/>
      <c r="H12" s="513"/>
      <c r="I12" s="510"/>
      <c r="J12" s="513">
        <v>96.37999725341797</v>
      </c>
      <c r="K12" s="510" t="s">
        <v>706</v>
      </c>
      <c r="L12" s="513">
        <v>96.5</v>
      </c>
      <c r="M12" s="510" t="s">
        <v>706</v>
      </c>
      <c r="N12" s="513">
        <v>82.91999816894531</v>
      </c>
      <c r="O12" s="510" t="s">
        <v>706</v>
      </c>
      <c r="P12" s="513">
        <v>80.4000015258789</v>
      </c>
      <c r="Q12" s="510" t="s">
        <v>706</v>
      </c>
      <c r="R12" s="513">
        <v>68.9000015258789</v>
      </c>
      <c r="S12" s="510" t="s">
        <v>706</v>
      </c>
      <c r="T12" s="513">
        <v>52.29999923706055</v>
      </c>
      <c r="U12" s="510" t="s">
        <v>706</v>
      </c>
      <c r="V12" s="513">
        <v>13.600000381469727</v>
      </c>
      <c r="W12" s="510" t="s">
        <v>728</v>
      </c>
      <c r="X12" s="513">
        <v>2</v>
      </c>
      <c r="Y12" s="510" t="s">
        <v>706</v>
      </c>
      <c r="Z12" s="513">
        <v>2</v>
      </c>
      <c r="AA12" s="510" t="s">
        <v>706</v>
      </c>
      <c r="AB12" s="513">
        <v>2</v>
      </c>
      <c r="AC12" s="510" t="s">
        <v>706</v>
      </c>
      <c r="AD12" s="513">
        <v>2</v>
      </c>
      <c r="AE12" s="510" t="s">
        <v>706</v>
      </c>
      <c r="AF12" s="513">
        <v>0</v>
      </c>
      <c r="AG12" s="510" t="s">
        <v>706</v>
      </c>
      <c r="AH12" s="513">
        <v>0</v>
      </c>
      <c r="AI12" s="510" t="s">
        <v>706</v>
      </c>
      <c r="AJ12" s="513">
        <v>0</v>
      </c>
      <c r="AK12" s="510" t="s">
        <v>706</v>
      </c>
      <c r="AL12" s="513">
        <v>0</v>
      </c>
      <c r="AM12" s="510" t="s">
        <v>706</v>
      </c>
      <c r="AN12" s="513">
        <v>0</v>
      </c>
      <c r="AO12" s="510" t="s">
        <v>706</v>
      </c>
      <c r="AP12" s="513">
        <v>0</v>
      </c>
      <c r="AQ12" s="510" t="s">
        <v>706</v>
      </c>
      <c r="AR12" s="513">
        <v>0</v>
      </c>
      <c r="AS12" s="510" t="s">
        <v>706</v>
      </c>
      <c r="AT12" s="513">
        <v>0</v>
      </c>
      <c r="AU12" s="510" t="s">
        <v>706</v>
      </c>
      <c r="AV12" s="513">
        <v>0</v>
      </c>
      <c r="AW12" s="510" t="s">
        <v>706</v>
      </c>
      <c r="AY12" s="64">
        <v>5</v>
      </c>
      <c r="AZ12" s="391" t="s">
        <v>418</v>
      </c>
      <c r="BA12" s="64" t="s">
        <v>507</v>
      </c>
      <c r="BB12" s="64" t="s">
        <v>428</v>
      </c>
      <c r="BC12" s="225"/>
      <c r="BD12" s="64" t="str">
        <f>IF(OR(ISBLANK(F12),ISBLANK(H12)),"N/A",IF(ABS(H12-F12)&gt;100,"&gt; 100%","ok"))</f>
        <v>N/A</v>
      </c>
      <c r="BE12" s="225"/>
      <c r="BF12" s="55" t="str">
        <f>IF(OR(ISBLANK(H12),ISBLANK(J12)),"N/A",IF(ABS(J12-H12)&gt;1,"&gt;100%","ok"))</f>
        <v>N/A</v>
      </c>
      <c r="BG12" s="55"/>
      <c r="BH12" s="55" t="str">
        <f>IF(OR(ISBLANK(J12),ISBLANK(L12)),"N/A",IF(ABS(L12-J12)&gt;25,"&gt; 25%","ok"))</f>
        <v>ok</v>
      </c>
      <c r="BI12" s="55"/>
      <c r="BJ12" s="55" t="str">
        <f>IF(OR(ISBLANK(L12),ISBLANK(N12)),"N/A",IF(ABS(N12-L12)&gt;25,"&gt; 25%","ok"))</f>
        <v>ok</v>
      </c>
      <c r="BK12" s="55"/>
      <c r="BL12" s="55" t="str">
        <f>IF(OR(ISBLANK(N12),ISBLANK(P12)),"N/A",IF(ABS(P12-N12)&gt;25,"&gt; 25%","ok"))</f>
        <v>ok</v>
      </c>
      <c r="BM12" s="55"/>
      <c r="BN12" s="55" t="str">
        <f>IF(OR(ISBLANK(P12),ISBLANK(R12)),"N/A",IF(ABS(R12-P12)&gt;25,"&gt; 25%","ok"))</f>
        <v>ok</v>
      </c>
      <c r="BO12" s="55"/>
      <c r="BP12" s="55" t="str">
        <f>IF(OR(ISBLANK(R12),ISBLANK(T12)),"N/A",IF(ABS(T12-R12)&gt;25,"&gt; 25%","ok"))</f>
        <v>ok</v>
      </c>
      <c r="BQ12" s="55"/>
      <c r="BR12" s="55" t="str">
        <f>IF(OR(ISBLANK(T12),ISBLANK(V12)),"N/A",IF(ABS(V12-T12)&gt;25,"&gt; 25%","ok"))</f>
        <v>&gt; 25%</v>
      </c>
      <c r="BS12" s="55"/>
      <c r="BT12" s="55" t="str">
        <f>IF(OR(ISBLANK(V12),ISBLANK(X12)),"N/A",IF(ABS(X12-V12)&gt;25,"&gt; 25%","ok"))</f>
        <v>ok</v>
      </c>
      <c r="BU12" s="55"/>
      <c r="BV12" s="55" t="str">
        <f>IF(OR(ISBLANK(X12),ISBLANK(Z12)),"N/A",IF(ABS(Z12-X12)&gt;25,"&gt; 25%","ok"))</f>
        <v>ok</v>
      </c>
      <c r="BW12" s="55"/>
      <c r="BX12" s="55" t="str">
        <f>IF(OR(ISBLANK(Z12),ISBLANK(AB12)),"N/A",IF(ABS(AB12-Z12)&gt;25,"&gt; 25%","ok"))</f>
        <v>ok</v>
      </c>
      <c r="BY12" s="55"/>
      <c r="BZ12" s="55" t="str">
        <f>IF(OR(ISBLANK(AB12),ISBLANK(AD12)),"N/A",IF(ABS(AD12-AB12)&gt;25,"&gt; 25%","ok"))</f>
        <v>ok</v>
      </c>
      <c r="CA12" s="55"/>
      <c r="CB12" s="55" t="str">
        <f>IF(OR(ISBLANK(AD12),ISBLANK(AF12)),"N/A",IF(ABS(AF12-AD12)&gt;25,"&gt; 25%","ok"))</f>
        <v>ok</v>
      </c>
      <c r="CC12" s="55"/>
      <c r="CD12" s="55" t="str">
        <f>IF(OR(ISBLANK(AF12),ISBLANK(AH12)),"N/A",IF(ABS(AH12-AF12)&gt;25,"&gt; 25%","ok"))</f>
        <v>ok</v>
      </c>
      <c r="CE12" s="55"/>
      <c r="CF12" s="55" t="str">
        <f>IF(OR(ISBLANK(AH12),ISBLANK(AJ12)),"N/A",IF(ABS(AJ12-AH12)&gt;25,"&gt; 25%","ok"))</f>
        <v>ok</v>
      </c>
      <c r="CG12" s="55"/>
      <c r="CH12" s="55" t="str">
        <f>IF(OR(ISBLANK(AJ12),ISBLANK(AL12)),"N/A",IF(ABS(AL12-AJ12)&gt;25,"&gt; 25%","ok"))</f>
        <v>ok</v>
      </c>
      <c r="CI12" s="55"/>
      <c r="CJ12" s="55" t="str">
        <f>IF(OR(ISBLANK(AL12),ISBLANK(AN12)),"N/A",IF(ABS(AN12-AL12)&gt;25,"&gt; 25%","ok"))</f>
        <v>ok</v>
      </c>
      <c r="CK12" s="55"/>
      <c r="CL12" s="55" t="str">
        <f>IF(OR(ISBLANK(AN12),ISBLANK(AP12)),"N/A",IF(ABS(AP12-AN12)&gt;25,"&gt; 25%","ok"))</f>
        <v>ok</v>
      </c>
      <c r="CM12" s="55"/>
      <c r="CN12" s="55" t="str">
        <f>IF(OR(ISBLANK(AP12),ISBLANK(AR12)),"N/A",IF(ABS(AR12-AP12)&gt;25,"&gt; 25%","ok"))</f>
        <v>ok</v>
      </c>
      <c r="CO12" s="55"/>
      <c r="CP12" s="55" t="str">
        <f>IF(OR(ISBLANK(AR12),ISBLANK(AT12)),"N/A",IF(ABS(AT12-AR12)&gt;25,"&gt; 25%","ok"))</f>
        <v>ok</v>
      </c>
      <c r="CQ12" s="55"/>
      <c r="CR12" s="55" t="str">
        <f>IF(OR(ISBLANK(AT12),ISBLANK(AV12)),"N/A",IF(ABS(AV12-AT12)&gt;25,"&gt; 25%","ok"))</f>
        <v>ok</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512</v>
      </c>
      <c r="D14" s="223"/>
      <c r="E14" s="393"/>
      <c r="F14" s="307"/>
      <c r="G14" s="307"/>
      <c r="AY14" s="316" t="s">
        <v>600</v>
      </c>
    </row>
    <row r="15" spans="1:106" ht="25.5" customHeight="1">
      <c r="A15" s="240"/>
      <c r="B15" s="240"/>
      <c r="C15" s="238" t="s">
        <v>440</v>
      </c>
      <c r="D15" s="810" t="s">
        <v>179</v>
      </c>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0"/>
      <c r="AY15" s="181" t="s">
        <v>510</v>
      </c>
      <c r="AZ15" s="181" t="s">
        <v>511</v>
      </c>
      <c r="BA15" s="181" t="s">
        <v>513</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440</v>
      </c>
      <c r="D16" s="809" t="s">
        <v>472</v>
      </c>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c r="AV16" s="809"/>
      <c r="AW16" s="809"/>
      <c r="AX16" s="809"/>
      <c r="AY16" s="337">
        <v>1</v>
      </c>
      <c r="AZ16" s="473" t="s">
        <v>376</v>
      </c>
      <c r="BA16" s="66" t="s">
        <v>507</v>
      </c>
      <c r="BB16" s="66">
        <f>F8</f>
        <v>0</v>
      </c>
      <c r="BC16" s="66"/>
      <c r="BD16" s="66">
        <f>H8</f>
        <v>0</v>
      </c>
      <c r="BE16" s="66"/>
      <c r="BF16" s="66">
        <f>J8</f>
        <v>100</v>
      </c>
      <c r="BG16" s="66"/>
      <c r="BH16" s="66">
        <f>L8</f>
        <v>100</v>
      </c>
      <c r="BI16" s="66"/>
      <c r="BJ16" s="66">
        <f>N8</f>
        <v>100</v>
      </c>
      <c r="BK16" s="66"/>
      <c r="BL16" s="66">
        <f>P8</f>
        <v>100</v>
      </c>
      <c r="BM16" s="66"/>
      <c r="BN16" s="66">
        <f>R8</f>
        <v>100</v>
      </c>
      <c r="BO16" s="66"/>
      <c r="BP16" s="66">
        <f>T8</f>
        <v>100</v>
      </c>
      <c r="BQ16" s="66"/>
      <c r="BR16" s="66">
        <f>V8</f>
        <v>100</v>
      </c>
      <c r="BS16" s="66"/>
      <c r="BT16" s="66">
        <f>X8</f>
        <v>100</v>
      </c>
      <c r="BU16" s="66"/>
      <c r="BV16" s="66">
        <f>Z8</f>
        <v>100</v>
      </c>
      <c r="BW16" s="66"/>
      <c r="BX16" s="66">
        <f>AB8</f>
        <v>100</v>
      </c>
      <c r="BY16" s="66"/>
      <c r="BZ16" s="66">
        <f>AD8</f>
        <v>100</v>
      </c>
      <c r="CA16" s="66"/>
      <c r="CB16" s="66">
        <f>AF8</f>
        <v>100</v>
      </c>
      <c r="CC16" s="66"/>
      <c r="CD16" s="66">
        <f>AH8</f>
        <v>100</v>
      </c>
      <c r="CE16" s="195"/>
      <c r="CF16" s="66">
        <f>AJ8</f>
        <v>100</v>
      </c>
      <c r="CG16" s="66"/>
      <c r="CH16" s="66">
        <f>AL8</f>
        <v>100</v>
      </c>
      <c r="CI16" s="66"/>
      <c r="CJ16" s="66">
        <f>AN8</f>
        <v>100</v>
      </c>
      <c r="CK16" s="66"/>
      <c r="CL16" s="66">
        <f>AP8</f>
        <v>100</v>
      </c>
      <c r="CM16" s="195"/>
      <c r="CN16" s="66">
        <f>AR8</f>
        <v>100</v>
      </c>
      <c r="CO16" s="66"/>
      <c r="CP16" s="66">
        <f>AT8</f>
        <v>100</v>
      </c>
      <c r="CQ16" s="66"/>
      <c r="CR16" s="66">
        <f>AV8</f>
        <v>100</v>
      </c>
      <c r="CS16" s="66"/>
      <c r="CT16" s="66"/>
      <c r="CU16" s="66"/>
      <c r="CV16" s="66"/>
      <c r="CW16" s="241"/>
      <c r="CX16" s="241"/>
      <c r="CY16" s="241"/>
      <c r="CZ16" s="241"/>
      <c r="DA16" s="241"/>
      <c r="DB16" s="241"/>
    </row>
    <row r="17" spans="1:106" ht="9" customHeight="1">
      <c r="A17" s="240"/>
      <c r="B17" s="240"/>
      <c r="C17" s="238"/>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323">
        <v>2</v>
      </c>
      <c r="AZ17" s="475" t="s">
        <v>377</v>
      </c>
      <c r="BA17" s="66" t="s">
        <v>507</v>
      </c>
      <c r="BB17" s="66">
        <f>F9</f>
        <v>0</v>
      </c>
      <c r="BC17" s="66"/>
      <c r="BD17" s="66">
        <f>H9</f>
        <v>0</v>
      </c>
      <c r="BE17" s="66"/>
      <c r="BF17" s="66">
        <f>J9</f>
        <v>3.619999885559082</v>
      </c>
      <c r="BG17" s="66"/>
      <c r="BH17" s="66">
        <f>L9</f>
        <v>3.5</v>
      </c>
      <c r="BI17" s="66"/>
      <c r="BJ17" s="66">
        <f>N9</f>
        <v>17.079999923706055</v>
      </c>
      <c r="BK17" s="66"/>
      <c r="BL17" s="66">
        <f>P9</f>
        <v>19.600000381469727</v>
      </c>
      <c r="BM17" s="66"/>
      <c r="BN17" s="66">
        <f>R9</f>
        <v>31.100000381469727</v>
      </c>
      <c r="BO17" s="66"/>
      <c r="BP17" s="66">
        <f>T9</f>
        <v>47.70000076293945</v>
      </c>
      <c r="BQ17" s="66"/>
      <c r="BR17" s="66">
        <f>V9</f>
        <v>86.4000015258789</v>
      </c>
      <c r="BS17" s="66"/>
      <c r="BT17" s="66">
        <f>X9</f>
        <v>98</v>
      </c>
      <c r="BU17" s="66"/>
      <c r="BV17" s="66">
        <f>Z9</f>
        <v>98</v>
      </c>
      <c r="BW17" s="66"/>
      <c r="BX17" s="66">
        <f>AB9</f>
        <v>98</v>
      </c>
      <c r="BY17" s="66"/>
      <c r="BZ17" s="66">
        <f>AD9</f>
        <v>98</v>
      </c>
      <c r="CA17" s="66"/>
      <c r="CB17" s="66">
        <f>AF9</f>
        <v>100</v>
      </c>
      <c r="CC17" s="66"/>
      <c r="CD17" s="66">
        <f>AH9</f>
        <v>100</v>
      </c>
      <c r="CE17" s="195"/>
      <c r="CF17" s="66">
        <f>AJ9</f>
        <v>100</v>
      </c>
      <c r="CG17" s="66"/>
      <c r="CH17" s="66">
        <f>AL9</f>
        <v>100</v>
      </c>
      <c r="CI17" s="66"/>
      <c r="CJ17" s="66">
        <f>AN9</f>
        <v>100</v>
      </c>
      <c r="CK17" s="66"/>
      <c r="CL17" s="66">
        <f>AP9</f>
        <v>100</v>
      </c>
      <c r="CM17" s="195"/>
      <c r="CN17" s="66">
        <f>AR9</f>
        <v>100</v>
      </c>
      <c r="CO17" s="66"/>
      <c r="CP17" s="66">
        <f>AT9</f>
        <v>100</v>
      </c>
      <c r="CQ17" s="66"/>
      <c r="CR17" s="66">
        <f>AV9</f>
        <v>100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441</v>
      </c>
      <c r="AZ18" s="246" t="s">
        <v>402</v>
      </c>
      <c r="BA18" s="66"/>
      <c r="BB18" s="66" t="str">
        <f>IF(OR(ISBLANK(F8),ISBLANK(F9)),"N/A",IF(BB16&gt;=BB17,"ok","&lt;&gt;"))</f>
        <v>N/A</v>
      </c>
      <c r="BC18" s="66"/>
      <c r="BD18" s="66" t="str">
        <f>IF(OR(ISBLANK(H8),ISBLANK(H9)),"N/A",IF(BD16&gt;=BD17,"ok","&lt;&gt;"))</f>
        <v>N/A</v>
      </c>
      <c r="BE18" s="66"/>
      <c r="BF18" s="66" t="str">
        <f>IF(OR(ISBLANK(J8),ISBLANK(J9)),"N/A",IF(BF16&gt;=BF17,"ok","&lt;&gt;"))</f>
        <v>ok</v>
      </c>
      <c r="BG18" s="66"/>
      <c r="BH18" s="66" t="str">
        <f>IF(OR(ISBLANK(L8),ISBLANK(L9)),"N/A",IF(BH16&gt;=BH17,"ok","&lt;&gt;"))</f>
        <v>ok</v>
      </c>
      <c r="BI18" s="66"/>
      <c r="BJ18" s="66" t="str">
        <f>IF(OR(ISBLANK(N8),ISBLANK(N9)),"N/A",IF(BJ16&gt;=BJ17,"ok","&lt;&gt;"))</f>
        <v>ok</v>
      </c>
      <c r="BK18" s="66"/>
      <c r="BL18" s="66" t="str">
        <f>IF(OR(ISBLANK(P8),ISBLANK(P9)),"N/A",IF(BL16&gt;=BL17,"ok","&lt;&gt;"))</f>
        <v>ok</v>
      </c>
      <c r="BM18" s="66"/>
      <c r="BN18" s="66" t="str">
        <f>IF(OR(ISBLANK(R8),ISBLANK(R9)),"N/A",IF(BN16&gt;=BN17,"ok","&lt;&gt;"))</f>
        <v>ok</v>
      </c>
      <c r="BO18" s="66"/>
      <c r="BP18" s="66" t="str">
        <f>IF(OR(ISBLANK(T8),ISBLANK(T9)),"N/A",IF(BP16&gt;=BP17,"ok","&lt;&gt;"))</f>
        <v>ok</v>
      </c>
      <c r="BQ18" s="66"/>
      <c r="BR18" s="66" t="str">
        <f>IF(OR(ISBLANK(V8),ISBLANK(V9)),"N/A",IF(BR16&gt;=BR17,"ok","&lt;&gt;"))</f>
        <v>ok</v>
      </c>
      <c r="BS18" s="66"/>
      <c r="BT18" s="66" t="str">
        <f>IF(OR(ISBLANK(X8),ISBLANK(X9)),"N/A",IF(BT16&gt;=BT17,"ok","&lt;&gt;"))</f>
        <v>ok</v>
      </c>
      <c r="BU18" s="66"/>
      <c r="BV18" s="66" t="str">
        <f>IF(OR(ISBLANK(Z8),ISBLANK(Z9)),"N/A",IF(BV16&gt;=BV17,"ok","&lt;&gt;"))</f>
        <v>ok</v>
      </c>
      <c r="BW18" s="66"/>
      <c r="BX18" s="66" t="str">
        <f>IF(OR(ISBLANK(AB8),ISBLANK(AB9)),"N/A",IF(BX16&gt;=BX17,"ok","&lt;&gt;"))</f>
        <v>ok</v>
      </c>
      <c r="BY18" s="66"/>
      <c r="BZ18" s="66" t="str">
        <f>IF(OR(ISBLANK(AD8),ISBLANK(AD9)),"N/A",IF(BZ16&gt;=BZ17,"ok","&lt;&gt;"))</f>
        <v>ok</v>
      </c>
      <c r="CA18" s="66"/>
      <c r="CB18" s="66" t="str">
        <f>IF(OR(ISBLANK(AF8),ISBLANK(AF9)),"N/A",IF(CB16&gt;=CB17,"ok","&lt;&gt;"))</f>
        <v>ok</v>
      </c>
      <c r="CC18" s="66"/>
      <c r="CD18" s="66" t="str">
        <f>IF(OR(ISBLANK(AH8),ISBLANK(AH9)),"N/A",IF(CD16&gt;=CD17,"ok","&lt;&gt;"))</f>
        <v>ok</v>
      </c>
      <c r="CE18" s="195"/>
      <c r="CF18" s="66" t="str">
        <f>IF(OR(ISBLANK(AJ8),ISBLANK(AJ9)),"N/A",IF(CF16&gt;=CF17,"ok","&lt;&gt;"))</f>
        <v>ok</v>
      </c>
      <c r="CG18" s="66"/>
      <c r="CH18" s="66" t="str">
        <f>IF(OR(ISBLANK(AL8),ISBLANK(AL9)),"N/A",IF(CH16&gt;=CH17,"ok","&lt;&gt;"))</f>
        <v>ok</v>
      </c>
      <c r="CI18" s="66"/>
      <c r="CJ18" s="66" t="str">
        <f>IF(OR(ISBLANK(AN8),ISBLANK(AN9)),"N/A",IF(CJ16&gt;=CJ17,"ok","&lt;&gt;"))</f>
        <v>ok</v>
      </c>
      <c r="CK18" s="66"/>
      <c r="CL18" s="66" t="str">
        <f>IF(OR(ISBLANK(AP8),ISBLANK(AP9)),"N/A",IF(CL16&gt;=CL17,"ok","&lt;&gt;"))</f>
        <v>ok</v>
      </c>
      <c r="CM18" s="195"/>
      <c r="CN18" s="66" t="str">
        <f>IF(OR(ISBLANK(AR8),ISBLANK(AR9)),"N/A",IF(CN16&gt;=CN17,"ok","&lt;&gt;"))</f>
        <v>ok</v>
      </c>
      <c r="CO18" s="66"/>
      <c r="CP18" s="66" t="str">
        <f>IF(OR(ISBLANK(AT8),ISBLANK(AT9)),"N/A",IF(CP16&gt;=CP17,"ok","&lt;&gt;"))</f>
        <v>ok</v>
      </c>
      <c r="CQ18" s="66"/>
      <c r="CR18" s="66" t="str">
        <f>IF(OR(ISBLANK(AV8),ISBLANK(AV9)),"N/A",IF(CR16&gt;=CR17,"ok","&lt;&gt;"))</f>
        <v>ok</v>
      </c>
      <c r="CS18" s="66"/>
      <c r="CT18" s="66"/>
      <c r="CU18" s="66"/>
      <c r="CV18" s="66"/>
    </row>
    <row r="19" spans="1:100" s="371" customFormat="1" ht="22.5">
      <c r="A19" s="370"/>
      <c r="B19" s="352">
        <v>2</v>
      </c>
      <c r="C19" s="339" t="s">
        <v>298</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641</v>
      </c>
      <c r="BA19" s="66" t="s">
        <v>507</v>
      </c>
      <c r="BB19" s="66">
        <f>F10</f>
        <v>0</v>
      </c>
      <c r="BC19" s="66"/>
      <c r="BD19" s="66">
        <f>H10</f>
        <v>0</v>
      </c>
      <c r="BE19" s="66"/>
      <c r="BF19" s="66">
        <f>J10</f>
        <v>3.619999885559082</v>
      </c>
      <c r="BG19" s="66"/>
      <c r="BH19" s="66">
        <f>L10</f>
        <v>3.5</v>
      </c>
      <c r="BI19" s="66"/>
      <c r="BJ19" s="66">
        <f>N10</f>
        <v>17.079999923706055</v>
      </c>
      <c r="BK19" s="66"/>
      <c r="BL19" s="66">
        <f>P10</f>
        <v>19.600000381469727</v>
      </c>
      <c r="BM19" s="66"/>
      <c r="BN19" s="66">
        <f>R10</f>
        <v>31.100000381469727</v>
      </c>
      <c r="BO19" s="66"/>
      <c r="BP19" s="66">
        <f>T10</f>
        <v>47.70000076293945</v>
      </c>
      <c r="BQ19" s="66"/>
      <c r="BR19" s="66">
        <f>V10</f>
        <v>86.4000015258789</v>
      </c>
      <c r="BS19" s="66"/>
      <c r="BT19" s="66">
        <f>X10</f>
        <v>98</v>
      </c>
      <c r="BU19" s="66"/>
      <c r="BV19" s="66">
        <f>Z10</f>
        <v>98</v>
      </c>
      <c r="BW19" s="66"/>
      <c r="BX19" s="66">
        <f>AB10</f>
        <v>98</v>
      </c>
      <c r="BY19" s="66"/>
      <c r="BZ19" s="66">
        <f>AD10</f>
        <v>98</v>
      </c>
      <c r="CA19" s="66"/>
      <c r="CB19" s="66">
        <f>AF10</f>
        <v>100</v>
      </c>
      <c r="CC19" s="66"/>
      <c r="CD19" s="66">
        <f>AH10</f>
        <v>100</v>
      </c>
      <c r="CE19" s="195"/>
      <c r="CF19" s="66">
        <f>AJ10</f>
        <v>100</v>
      </c>
      <c r="CG19" s="66"/>
      <c r="CH19" s="66">
        <f>AL10</f>
        <v>100</v>
      </c>
      <c r="CI19" s="66"/>
      <c r="CJ19" s="66">
        <f>AN10</f>
        <v>100</v>
      </c>
      <c r="CK19" s="66"/>
      <c r="CL19" s="66">
        <f>AP10</f>
        <v>100</v>
      </c>
      <c r="CM19" s="195"/>
      <c r="CN19" s="66">
        <f>AR10</f>
        <v>100</v>
      </c>
      <c r="CO19" s="66"/>
      <c r="CP19" s="66">
        <f>AT10</f>
        <v>100</v>
      </c>
      <c r="CQ19" s="66"/>
      <c r="CR19" s="66">
        <f>AV10</f>
        <v>100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515</v>
      </c>
      <c r="D21" s="798" t="s">
        <v>299</v>
      </c>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39"/>
      <c r="AY21" s="249" t="s">
        <v>441</v>
      </c>
      <c r="AZ21" s="246" t="s">
        <v>401</v>
      </c>
      <c r="BA21" s="66"/>
      <c r="BB21" s="66" t="str">
        <f>IF(OR(ISBLANK(F10),ISBLANK(F9)),"N/A",IF(BB17&gt;=BB19,"ok","&lt;&gt;"))</f>
        <v>N/A</v>
      </c>
      <c r="BC21" s="66"/>
      <c r="BD21" s="66" t="str">
        <f>IF(OR(ISBLANK(H10),ISBLANK(H9)),"N/A",IF(BD17&gt;=BD19,"ok","&lt;&gt;"))</f>
        <v>N/A</v>
      </c>
      <c r="BE21" s="66"/>
      <c r="BF21" s="66" t="str">
        <f>IF(OR(ISBLANK(J10),ISBLANK(J9)),"N/A",IF(BF17&gt;=BF19,"ok","&lt;&gt;"))</f>
        <v>ok</v>
      </c>
      <c r="BG21" s="66"/>
      <c r="BH21" s="66" t="str">
        <f>IF(OR(ISBLANK(L10),ISBLANK(L9)),"N/A",IF(BH17&gt;=BH19,"ok","&lt;&gt;"))</f>
        <v>ok</v>
      </c>
      <c r="BI21" s="66"/>
      <c r="BJ21" s="66" t="str">
        <f>IF(OR(ISBLANK(N10),ISBLANK(N9)),"N/A",IF(BJ17&gt;=BJ19,"ok","&lt;&gt;"))</f>
        <v>ok</v>
      </c>
      <c r="BK21" s="66"/>
      <c r="BL21" s="66" t="str">
        <f>IF(OR(ISBLANK(P10),ISBLANK(P9)),"N/A",IF(BL17&gt;=BL19,"ok","&lt;&gt;"))</f>
        <v>ok</v>
      </c>
      <c r="BM21" s="66"/>
      <c r="BN21" s="66" t="str">
        <f>IF(OR(ISBLANK(R10),ISBLANK(R9)),"N/A",IF(BN17&gt;=BN19,"ok","&lt;&gt;"))</f>
        <v>ok</v>
      </c>
      <c r="BO21" s="66"/>
      <c r="BP21" s="66" t="str">
        <f>IF(OR(ISBLANK(T10),ISBLANK(T9)),"N/A",IF(BP17&gt;=BP19,"ok","&lt;&gt;"))</f>
        <v>ok</v>
      </c>
      <c r="BQ21" s="66"/>
      <c r="BR21" s="66" t="str">
        <f>IF(OR(ISBLANK(V10),ISBLANK(V9)),"N/A",IF(BR17&gt;=BR19,"ok","&lt;&gt;"))</f>
        <v>ok</v>
      </c>
      <c r="BS21" s="66"/>
      <c r="BT21" s="66" t="str">
        <f>IF(OR(ISBLANK(X10),ISBLANK(X9)),"N/A",IF(BT17&gt;=BT19,"ok","&lt;&gt;"))</f>
        <v>ok</v>
      </c>
      <c r="BU21" s="66"/>
      <c r="BV21" s="66" t="str">
        <f>IF(OR(ISBLANK(Z10),ISBLANK(Z9)),"N/A",IF(BV17&gt;=BV19,"ok","&lt;&gt;"))</f>
        <v>ok</v>
      </c>
      <c r="BW21" s="66"/>
      <c r="BX21" s="66" t="str">
        <f>IF(OR(ISBLANK(AB10),ISBLANK(AB9)),"N/A",IF(BX17&gt;=BX19,"ok","&lt;&gt;"))</f>
        <v>ok</v>
      </c>
      <c r="BY21" s="66"/>
      <c r="BZ21" s="66" t="str">
        <f>IF(OR(ISBLANK(AD10),ISBLANK(AD9)),"N/A",IF(BZ17&gt;=BZ19,"ok","&lt;&gt;"))</f>
        <v>ok</v>
      </c>
      <c r="CA21" s="66"/>
      <c r="CB21" s="66" t="str">
        <f>IF(OR(ISBLANK(AF10),ISBLANK(AF9)),"N/A",IF(CB17&gt;=CB19,"ok","&lt;&gt;"))</f>
        <v>ok</v>
      </c>
      <c r="CC21" s="66"/>
      <c r="CD21" s="66" t="str">
        <f>IF(OR(ISBLANK(AH10),ISBLANK(AH9)),"N/A",IF(CD17&gt;=CD19,"ok","&lt;&gt;"))</f>
        <v>ok</v>
      </c>
      <c r="CE21" s="195"/>
      <c r="CF21" s="66" t="str">
        <f>IF(OR(ISBLANK(AJ10),ISBLANK(AJ9)),"N/A",IF(CF17&gt;=CF19,"ok","&lt;&gt;"))</f>
        <v>ok</v>
      </c>
      <c r="CG21" s="66"/>
      <c r="CH21" s="66" t="str">
        <f>IF(OR(ISBLANK(AL10),ISBLANK(AL9)),"N/A",IF(CH17&gt;=CH19,"ok","&lt;&gt;"))</f>
        <v>ok</v>
      </c>
      <c r="CI21" s="66"/>
      <c r="CJ21" s="66" t="str">
        <f>IF(OR(ISBLANK(AN10),ISBLANK(AN9)),"N/A",IF(CJ17&gt;=CJ19,"ok","&lt;&gt;"))</f>
        <v>ok</v>
      </c>
      <c r="CK21" s="66"/>
      <c r="CL21" s="66" t="str">
        <f>IF(OR(ISBLANK(AP10),ISBLANK(AP9)),"N/A",IF(CL17&gt;=CL19,"ok","&lt;&gt;"))</f>
        <v>ok</v>
      </c>
      <c r="CM21" s="195"/>
      <c r="CN21" s="66" t="str">
        <f>IF(OR(ISBLANK(AR10),ISBLANK(AR9)),"N/A",IF(CN17&gt;=CN19,"ok","&lt;&gt;"))</f>
        <v>ok</v>
      </c>
      <c r="CO21" s="66"/>
      <c r="CP21" s="66" t="str">
        <f>IF(OR(ISBLANK(AT10),ISBLANK(AT9)),"N/A",IF(CP17&gt;=CP19,"ok","&lt;&gt;"))</f>
        <v>ok</v>
      </c>
      <c r="CQ21" s="66"/>
      <c r="CR21" s="66" t="str">
        <f>IF(OR(ISBLANK(AV10),ISBLANK(AV9)),"N/A",IF(CR17&gt;=CR19,"ok","&lt;&gt;"))</f>
        <v>ok</v>
      </c>
      <c r="CS21" s="66"/>
      <c r="CT21" s="66"/>
      <c r="CU21" s="66"/>
      <c r="CV21" s="66"/>
    </row>
    <row r="22" spans="1:100" ht="18" customHeight="1">
      <c r="A22" s="136">
        <v>1</v>
      </c>
      <c r="B22" s="137">
        <v>5549</v>
      </c>
      <c r="C22" s="490" t="s">
        <v>704</v>
      </c>
      <c r="D22" s="794" t="s">
        <v>729</v>
      </c>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822"/>
      <c r="AY22" s="56">
        <v>5</v>
      </c>
      <c r="AZ22" s="199" t="s">
        <v>418</v>
      </c>
      <c r="BA22" s="56" t="s">
        <v>507</v>
      </c>
      <c r="BB22" s="66">
        <f>F12</f>
        <v>0</v>
      </c>
      <c r="BC22" s="66"/>
      <c r="BD22" s="66">
        <f>H12</f>
        <v>0</v>
      </c>
      <c r="BE22" s="66"/>
      <c r="BF22" s="66">
        <f>J12</f>
        <v>96.37999725341797</v>
      </c>
      <c r="BG22" s="66"/>
      <c r="BH22" s="66">
        <f>L12</f>
        <v>96.5</v>
      </c>
      <c r="BI22" s="66"/>
      <c r="BJ22" s="66">
        <f>N12</f>
        <v>82.91999816894531</v>
      </c>
      <c r="BK22" s="66"/>
      <c r="BL22" s="66">
        <f>P12</f>
        <v>80.4000015258789</v>
      </c>
      <c r="BM22" s="66"/>
      <c r="BN22" s="66">
        <f>R12</f>
        <v>68.9000015258789</v>
      </c>
      <c r="BO22" s="66"/>
      <c r="BP22" s="66">
        <f>T12</f>
        <v>52.29999923706055</v>
      </c>
      <c r="BQ22" s="66"/>
      <c r="BR22" s="66">
        <f>V12</f>
        <v>13.600000381469727</v>
      </c>
      <c r="BS22" s="66"/>
      <c r="BT22" s="66">
        <f>X12</f>
        <v>2</v>
      </c>
      <c r="BU22" s="66"/>
      <c r="BV22" s="66">
        <f>Z12</f>
        <v>2</v>
      </c>
      <c r="BW22" s="66"/>
      <c r="BX22" s="66">
        <f>AB12</f>
        <v>2</v>
      </c>
      <c r="BY22" s="66"/>
      <c r="BZ22" s="66">
        <f>AD12</f>
        <v>2</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1:100" ht="18" customHeight="1">
      <c r="A23" s="136">
        <v>1</v>
      </c>
      <c r="B23" s="137">
        <v>5550</v>
      </c>
      <c r="C23" s="490" t="s">
        <v>705</v>
      </c>
      <c r="D23" s="790" t="s">
        <v>730</v>
      </c>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823"/>
      <c r="AY23" s="273" t="s">
        <v>441</v>
      </c>
      <c r="AZ23" s="274" t="s">
        <v>385</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&lt;&gt;</v>
      </c>
      <c r="BG23" s="64"/>
      <c r="BH23" s="64" t="str">
        <f>IF(OR(ISBLANK(L12),ISBLANK(L9),ISBLANK(L11)),"N/A",IF(BH22=100-L11-L9,"ok","&lt;&gt;"))</f>
        <v>ok</v>
      </c>
      <c r="BI23" s="64"/>
      <c r="BJ23" s="64" t="str">
        <f>IF(OR(ISBLANK(N12),ISBLANK(N9),ISBLANK(N11)),"N/A",IF(BJ22=100-N11-N9,"ok","&lt;&gt;"))</f>
        <v>&lt;&gt;</v>
      </c>
      <c r="BK23" s="64"/>
      <c r="BL23" s="64" t="str">
        <f>IF(OR(ISBLANK(P12),ISBLANK(P9),ISBLANK(P11)),"N/A",IF(BL22=100-P11-P9,"ok","&lt;&gt;"))</f>
        <v>&lt;&gt;</v>
      </c>
      <c r="BM23" s="64"/>
      <c r="BN23" s="64" t="str">
        <f>IF(OR(ISBLANK(R12),ISBLANK(R9),ISBLANK(R11)),"N/A",IF(BN22=100-R11-R9,"ok","&lt;&gt;"))</f>
        <v>&lt;&gt;</v>
      </c>
      <c r="BO23" s="64"/>
      <c r="BP23" s="64" t="str">
        <f>IF(OR(ISBLANK(T12),ISBLANK(T9),ISBLANK(T11)),"N/A",IF(BP22=100-T11-T9,"ok","&lt;&gt;"))</f>
        <v>ok</v>
      </c>
      <c r="BQ23" s="64"/>
      <c r="BR23" s="64" t="str">
        <f>IF(OR(ISBLANK(V12),ISBLANK(V9),ISBLANK(V11)),"N/A",IF(BR22=100-V11-V9,"ok","&lt;&gt;"))</f>
        <v>&lt;&gt;</v>
      </c>
      <c r="BS23" s="64"/>
      <c r="BT23" s="64" t="str">
        <f>IF(OR(ISBLANK(X12),ISBLANK(X9),ISBLANK(X11)),"N/A",IF(BT22=100-X11-X9,"ok","&lt;&gt;"))</f>
        <v>ok</v>
      </c>
      <c r="BU23" s="64"/>
      <c r="BV23" s="64" t="str">
        <f>IF(OR(ISBLANK(Z12),ISBLANK(Z9),ISBLANK(Z11)),"N/A",IF(BV22=100-Z11-Z9,"ok","&lt;&gt;"))</f>
        <v>ok</v>
      </c>
      <c r="BW23" s="64"/>
      <c r="BX23" s="64" t="str">
        <f>IF(OR(ISBLANK(AB12),ISBLANK(AB9),ISBLANK(AB11)),"N/A",IF(BX22=100-AB11-AB9,"ok","&lt;&gt;"))</f>
        <v>ok</v>
      </c>
      <c r="BY23" s="64"/>
      <c r="BZ23" s="64" t="str">
        <f>IF(OR(ISBLANK(AD12),ISBLANK(AD9),ISBLANK(AD11)),"N/A",IF(BZ22=100-AD11-AD9,"ok","&lt;&gt;"))</f>
        <v>ok</v>
      </c>
      <c r="CA23" s="64"/>
      <c r="CB23" s="64" t="str">
        <f>IF(OR(ISBLANK(AF12),ISBLANK(AF9),ISBLANK(AF11)),"N/A",IF(CB22=100-AF11-AF9,"ok","&lt;&gt;"))</f>
        <v>ok</v>
      </c>
      <c r="CC23" s="64"/>
      <c r="CD23" s="64" t="str">
        <f>IF(OR(ISBLANK(AH12),ISBLANK(AH9),ISBLANK(AH11)),"N/A",IF(CD22=100-AH11-AH9,"ok","&lt;&gt;"))</f>
        <v>ok</v>
      </c>
      <c r="CE23" s="64"/>
      <c r="CF23" s="64" t="str">
        <f>IF(OR(ISBLANK(AJ12),ISBLANK(AJ9),ISBLANK(AJ11)),"N/A",IF(CF22=100-AJ11-AJ9,"ok","&lt;&gt;"))</f>
        <v>ok</v>
      </c>
      <c r="CG23" s="64"/>
      <c r="CH23" s="64" t="str">
        <f>IF(OR(ISBLANK(AL12),ISBLANK(AL9),ISBLANK(AL11)),"N/A",IF(CH22=100-AL11-AL9,"ok","&lt;&gt;"))</f>
        <v>ok</v>
      </c>
      <c r="CI23" s="64"/>
      <c r="CJ23" s="64" t="str">
        <f>IF(OR(ISBLANK(AN12),ISBLANK(AN9),ISBLANK(AN11)),"N/A",IF(CJ22=100-AN11-AN9,"ok","&lt;&gt;"))</f>
        <v>ok</v>
      </c>
      <c r="CK23" s="64"/>
      <c r="CL23" s="64" t="str">
        <f>IF(OR(ISBLANK(AP12),ISBLANK(AP9),ISBLANK(AP11)),"N/A",IF(CL22=100-AP11-AP9,"ok","&lt;&gt;"))</f>
        <v>ok</v>
      </c>
      <c r="CM23" s="64"/>
      <c r="CN23" s="64" t="str">
        <f>IF(OR(ISBLANK(AR12),ISBLANK(AR9),ISBLANK(AR11)),"N/A",IF(CN22=100-AR11-AR9,"ok","&lt;&gt;"))</f>
        <v>ok</v>
      </c>
      <c r="CO23" s="64"/>
      <c r="CP23" s="64" t="str">
        <f>IF(OR(ISBLANK(AT12),ISBLANK(AT9),ISBLANK(AT11)),"N/A",IF(CP22=100-AT11-AT9,"ok","&lt;&gt;"))</f>
        <v>ok</v>
      </c>
      <c r="CQ23" s="64"/>
      <c r="CR23" s="64" t="str">
        <f>IF(OR(ISBLANK(AV12),ISBLANK(AV9),ISBLANK(AV11)),"N/A",IF(CR22=100-AV11-AV9,"ok","&lt;&gt;"))</f>
        <v>ok</v>
      </c>
      <c r="CS23" s="64"/>
      <c r="CT23" s="64"/>
      <c r="CU23" s="64"/>
      <c r="CV23" s="64"/>
    </row>
    <row r="24" spans="1:100" ht="18" customHeight="1">
      <c r="A24" s="136">
        <v>0</v>
      </c>
      <c r="B24" s="137">
        <v>5548</v>
      </c>
      <c r="C24" s="490" t="s">
        <v>706</v>
      </c>
      <c r="D24" s="790" t="s">
        <v>731</v>
      </c>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823"/>
      <c r="AY24" s="275" t="s">
        <v>409</v>
      </c>
      <c r="AZ24" s="276" t="s">
        <v>410</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790"/>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823"/>
      <c r="AY25" s="275" t="s">
        <v>411</v>
      </c>
      <c r="AZ25" s="276" t="s">
        <v>412</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790"/>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823"/>
      <c r="AY26" s="277" t="s">
        <v>414</v>
      </c>
      <c r="AZ26" s="276" t="s">
        <v>416</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790"/>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823"/>
      <c r="AY27" s="277" t="s">
        <v>413</v>
      </c>
      <c r="AZ27" s="276" t="s">
        <v>378</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790"/>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823"/>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790"/>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823"/>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790"/>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823"/>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790"/>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823"/>
      <c r="AZ31" s="278"/>
    </row>
    <row r="32" spans="3:50" ht="18" customHeight="1">
      <c r="C32" s="490"/>
      <c r="D32" s="790"/>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823"/>
    </row>
    <row r="33" spans="3:50" ht="18" customHeight="1">
      <c r="C33" s="490"/>
      <c r="D33" s="790"/>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823"/>
    </row>
    <row r="34" spans="3:50" ht="18" customHeight="1">
      <c r="C34" s="490"/>
      <c r="D34" s="790"/>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823"/>
    </row>
    <row r="35" spans="3:50" ht="18" customHeight="1">
      <c r="C35" s="490"/>
      <c r="D35" s="790"/>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823"/>
    </row>
    <row r="36" spans="3:50" ht="18" customHeight="1">
      <c r="C36" s="490"/>
      <c r="D36" s="790"/>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823"/>
    </row>
    <row r="37" spans="3:50" ht="18" customHeight="1">
      <c r="C37" s="490"/>
      <c r="D37" s="790"/>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823"/>
    </row>
    <row r="38" spans="3:50" ht="18" customHeight="1">
      <c r="C38" s="490"/>
      <c r="D38" s="790"/>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823"/>
    </row>
    <row r="39" spans="3:50" ht="18" customHeight="1">
      <c r="C39" s="490"/>
      <c r="D39" s="790"/>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823"/>
    </row>
    <row r="40" spans="3:50" ht="18" customHeight="1">
      <c r="C40" s="490"/>
      <c r="D40" s="790"/>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823"/>
    </row>
    <row r="41" spans="3:50" ht="18" customHeight="1">
      <c r="C41" s="490"/>
      <c r="D41" s="790"/>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823"/>
    </row>
    <row r="42" spans="3:50" ht="18" customHeight="1">
      <c r="C42" s="50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823"/>
    </row>
    <row r="43" spans="3:50" ht="18" customHeight="1">
      <c r="C43" s="498"/>
      <c r="D43" s="806"/>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25"/>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formatCells="0" formatColumns="0" formatRows="0" insertColumn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F12">
    <cfRule type="cellIs" priority="61" dxfId="338" operator="greaterThan" stopIfTrue="1">
      <formula>100-F9-F11+0.1</formula>
    </cfRule>
  </conditionalFormatting>
  <conditionalFormatting sqref="H12">
    <cfRule type="cellIs" priority="60" dxfId="338" operator="greaterThan" stopIfTrue="1">
      <formula>100-H9-H11+0.1</formula>
    </cfRule>
  </conditionalFormatting>
  <conditionalFormatting sqref="J12">
    <cfRule type="cellIs" priority="59" dxfId="338" operator="greaterThan" stopIfTrue="1">
      <formula>100-J9-J11+0.1</formula>
    </cfRule>
  </conditionalFormatting>
  <conditionalFormatting sqref="L12">
    <cfRule type="cellIs" priority="58" dxfId="338" operator="greaterThan" stopIfTrue="1">
      <formula>100-L9-L11+0.1</formula>
    </cfRule>
  </conditionalFormatting>
  <conditionalFormatting sqref="N12">
    <cfRule type="cellIs" priority="57" dxfId="338" operator="greaterThan" stopIfTrue="1">
      <formula>100-N9-N11+0.1</formula>
    </cfRule>
  </conditionalFormatting>
  <conditionalFormatting sqref="P12">
    <cfRule type="cellIs" priority="56" dxfId="338" operator="greaterThan" stopIfTrue="1">
      <formula>100-P9-P11+0.1</formula>
    </cfRule>
  </conditionalFormatting>
  <conditionalFormatting sqref="R12">
    <cfRule type="cellIs" priority="55" dxfId="338" operator="greaterThan" stopIfTrue="1">
      <formula>100-R9-R11+0.1</formula>
    </cfRule>
  </conditionalFormatting>
  <conditionalFormatting sqref="T12">
    <cfRule type="cellIs" priority="54" dxfId="338" operator="greaterThan" stopIfTrue="1">
      <formula>100-T9-T11+0.1</formula>
    </cfRule>
  </conditionalFormatting>
  <conditionalFormatting sqref="V12">
    <cfRule type="cellIs" priority="53" dxfId="338" operator="greaterThan" stopIfTrue="1">
      <formula>100-V9-V11+0.1</formula>
    </cfRule>
  </conditionalFormatting>
  <conditionalFormatting sqref="X12">
    <cfRule type="cellIs" priority="52" dxfId="338" operator="greaterThan" stopIfTrue="1">
      <formula>100-X9-X11+0.1</formula>
    </cfRule>
  </conditionalFormatting>
  <conditionalFormatting sqref="Z12">
    <cfRule type="cellIs" priority="51" dxfId="338" operator="greaterThan" stopIfTrue="1">
      <formula>100-Z9-Z11+0.1</formula>
    </cfRule>
  </conditionalFormatting>
  <conditionalFormatting sqref="AB12">
    <cfRule type="cellIs" priority="50" dxfId="338" operator="greaterThan" stopIfTrue="1">
      <formula>100-AB9-AB11+0.1</formula>
    </cfRule>
  </conditionalFormatting>
  <conditionalFormatting sqref="AD12">
    <cfRule type="cellIs" priority="49" dxfId="338" operator="greaterThan" stopIfTrue="1">
      <formula>100-AD9-AD11+0.1</formula>
    </cfRule>
  </conditionalFormatting>
  <conditionalFormatting sqref="AF12">
    <cfRule type="cellIs" priority="48" dxfId="338" operator="greaterThan" stopIfTrue="1">
      <formula>100-AF9-AF11+0.1</formula>
    </cfRule>
  </conditionalFormatting>
  <conditionalFormatting sqref="AH12">
    <cfRule type="cellIs" priority="47" dxfId="338" operator="greaterThan" stopIfTrue="1">
      <formula>100-AH9-AH11+0.1</formula>
    </cfRule>
  </conditionalFormatting>
  <conditionalFormatting sqref="AJ12">
    <cfRule type="cellIs" priority="46" dxfId="338" operator="greaterThan" stopIfTrue="1">
      <formula>100-AJ9-AJ11+0.1</formula>
    </cfRule>
  </conditionalFormatting>
  <conditionalFormatting sqref="AL12">
    <cfRule type="cellIs" priority="45" dxfId="338" operator="greaterThan" stopIfTrue="1">
      <formula>100-AL9-AL11+0.1</formula>
    </cfRule>
  </conditionalFormatting>
  <conditionalFormatting sqref="AN12">
    <cfRule type="cellIs" priority="44" dxfId="338" operator="greaterThan" stopIfTrue="1">
      <formula>100-AN9-AN11+0.1</formula>
    </cfRule>
  </conditionalFormatting>
  <conditionalFormatting sqref="BV20 CJ20 CL20 BB20 CV20 CN20 CP20 BP20 BN20 BL20 BJ20 BZ20 CB20 CD20 BX20 BT20 BR20 CF20 CH20">
    <cfRule type="cellIs" priority="8" dxfId="338"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9" dxfId="338"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10" dxfId="338" operator="equal" stopIfTrue="1">
      <formula>"&gt; 25%"</formula>
    </cfRule>
  </conditionalFormatting>
  <conditionalFormatting sqref="CR20 CT20">
    <cfRule type="cellIs" priority="5" dxfId="338" operator="lessThan" stopIfTrue="1">
      <formula>CR21</formula>
    </cfRule>
  </conditionalFormatting>
  <conditionalFormatting sqref="CT18 CT23 CT21 CR18 CR21 CR23">
    <cfRule type="cellIs" priority="6" dxfId="338" operator="equal" stopIfTrue="1">
      <formula>"&lt;&gt;"</formula>
    </cfRule>
  </conditionalFormatting>
  <conditionalFormatting sqref="CT8:CT12 CR8:CR12">
    <cfRule type="cellIs" priority="7" dxfId="338" operator="equal" stopIfTrue="1">
      <formula>"&gt; 25%"</formula>
    </cfRule>
  </conditionalFormatting>
  <conditionalFormatting sqref="CJ8:CJ12">
    <cfRule type="cellIs" priority="4" dxfId="338" operator="equal" stopIfTrue="1">
      <formula>"&gt; 25%"</formula>
    </cfRule>
  </conditionalFormatting>
  <conditionalFormatting sqref="CJ20">
    <cfRule type="cellIs" priority="2" dxfId="338" operator="lessThan" stopIfTrue="1">
      <formula>CJ21</formula>
    </cfRule>
  </conditionalFormatting>
  <conditionalFormatting sqref="CJ18 CJ21 CJ23">
    <cfRule type="cellIs" priority="3" dxfId="338" operator="equal" stopIfTrue="1">
      <formula>"&lt;&gt;"</formula>
    </cfRule>
  </conditionalFormatting>
  <conditionalFormatting sqref="AP12 AR12 AT12 AV12">
    <cfRule type="cellIs" priority="1" dxfId="338" operator="greaterThan" stopIfTrue="1">
      <formula>100-AP9-AP11+0.1</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2021-02-16T20:56:17Z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ies>
</file>